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9200" windowHeight="7635" tabRatio="765" activeTab="3"/>
  </bookViews>
  <sheets>
    <sheet name="Contents" sheetId="1" r:id="rId1"/>
    <sheet name="Annual Mean" sheetId="2" r:id="rId2"/>
    <sheet name="Represented Populations" sheetId="4" r:id="rId3"/>
    <sheet name="Indicator of State" sheetId="10" r:id="rId4"/>
  </sheets>
  <definedNames>
    <definedName name="_xlnm._FilterDatabase" localSheetId="1" hidden="1">'Annual Mean'!$A$2:$M$84</definedName>
    <definedName name="_xlnm._FilterDatabase" localSheetId="3" hidden="1">'Indicator of State'!$A$6:$AB$87</definedName>
    <definedName name="_xlnm._FilterDatabase" localSheetId="2" hidden="1">'Represented Populations'!$A$1:$J$157</definedName>
    <definedName name="Z_49FAD1FC_B127_4C82_8D4A_0275FF7C3CEE_.wvu.FilterData" localSheetId="1" hidden="1">'Annual Mean'!$B$2:$M$83</definedName>
    <definedName name="Z_49FAD1FC_B127_4C82_8D4A_0275FF7C3CEE_.wvu.FilterData" localSheetId="3" hidden="1">'Indicator of State'!$A$6:$T$139</definedName>
    <definedName name="Z_49FAD1FC_B127_4C82_8D4A_0275FF7C3CEE_.wvu.FilterData" localSheetId="2" hidden="1">'Represented Populations'!$A$3:$AC$154</definedName>
    <definedName name="Z_7DDE176A_57E3_4883_B650_6417AB131A8F_.wvu.FilterData" localSheetId="1" hidden="1">'Annual Mean'!$B$2:$M$83</definedName>
    <definedName name="Z_7DDE176A_57E3_4883_B650_6417AB131A8F_.wvu.FilterData" localSheetId="3" hidden="1">'Indicator of State'!$A$6:$T$139</definedName>
    <definedName name="Z_7DDE176A_57E3_4883_B650_6417AB131A8F_.wvu.FilterData" localSheetId="2" hidden="1">'Represented Populations'!$A$3:$AC$154</definedName>
    <definedName name="Z_928159B0_05E8_465E_A540_962C8FD8BCB1_.wvu.FilterData" localSheetId="1" hidden="1">'Annual Mean'!$B$2:$M$83</definedName>
    <definedName name="Z_928159B0_05E8_465E_A540_962C8FD8BCB1_.wvu.FilterData" localSheetId="3" hidden="1">'Indicator of State'!$A$6:$T$139</definedName>
    <definedName name="Z_928159B0_05E8_465E_A540_962C8FD8BCB1_.wvu.FilterData" localSheetId="2" hidden="1">'Represented Populations'!$A$3:$AC$154</definedName>
    <definedName name="Z_F250E2F8_6B86_456F_B514_F3BFB5AE941A_.wvu.FilterData" localSheetId="1" hidden="1">'Annual Mean'!$B$2:$M$83</definedName>
    <definedName name="Z_F250E2F8_6B86_456F_B514_F3BFB5AE941A_.wvu.FilterData" localSheetId="3" hidden="1">'Indicator of State'!$A$6:$T$139</definedName>
    <definedName name="Z_F250E2F8_6B86_456F_B514_F3BFB5AE941A_.wvu.FilterData" localSheetId="2" hidden="1">'Represented Populations'!$A$3:$AC$154</definedName>
  </definedNames>
  <calcPr calcId="145621"/>
  <customWorkbookViews>
    <customWorkbookView name="Gerda - Personal View" guid="{49FAD1FC-B127-4C82-8D4A-0275FF7C3CEE}" mergeInterval="0" personalView="1" maximized="1" windowWidth="1916" windowHeight="855" tabRatio="765" activeSheetId="1"/>
    <customWorkbookView name="Surekha - Personal View" guid="{928159B0-05E8-465E-A540-962C8FD8BCB1}" mergeInterval="0" personalView="1" maximized="1" windowWidth="1676" windowHeight="825" tabRatio="765" activeSheetId="1" showComments="commIndAndComment"/>
    <customWorkbookView name="anti-v - Personal View" guid="{F250E2F8-6B86-456F-B514-F3BFB5AE941A}" mergeInterval="0" personalView="1" maximized="1" windowWidth="1362" windowHeight="543" tabRatio="765" activeSheetId="2"/>
    <customWorkbookView name="Elizabeth Somervell - Personal View" guid="{7DDE176A-57E3-4883-B650-6417AB131A8F}" mergeInterval="0" personalView="1" maximized="1" xWindow="-8" yWindow="-8" windowWidth="1936" windowHeight="1056" tabRatio="76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3" i="10" l="1"/>
  <c r="R73" i="10"/>
  <c r="R40" i="10"/>
  <c r="Q40" i="10"/>
  <c r="P40" i="10"/>
  <c r="O40" i="10"/>
  <c r="N40" i="10"/>
  <c r="M40" i="10"/>
  <c r="R38" i="10"/>
  <c r="L44" i="10"/>
  <c r="M44" i="10"/>
  <c r="N44" i="10"/>
  <c r="L24" i="10"/>
  <c r="M22" i="10"/>
  <c r="L22" i="10"/>
  <c r="L35" i="10"/>
  <c r="R25" i="10"/>
  <c r="Q25" i="10"/>
  <c r="L33" i="10"/>
  <c r="M33" i="10"/>
  <c r="R34" i="10"/>
  <c r="L10" i="10"/>
  <c r="M11" i="10"/>
  <c r="N11" i="10"/>
  <c r="O11" i="10"/>
  <c r="P11" i="10"/>
  <c r="Q11" i="10"/>
  <c r="R11" i="10"/>
  <c r="L12" i="10"/>
  <c r="M12" i="10"/>
  <c r="L15" i="10"/>
  <c r="M15" i="10"/>
  <c r="N15" i="10"/>
  <c r="O15" i="10"/>
  <c r="P15" i="10"/>
  <c r="L18" i="10"/>
  <c r="J82" i="10" l="1"/>
  <c r="I82" i="10"/>
  <c r="H82" i="10"/>
  <c r="G82" i="10"/>
  <c r="F82" i="10"/>
  <c r="J81" i="10"/>
  <c r="I81" i="10"/>
  <c r="H81" i="10"/>
  <c r="G81" i="10"/>
  <c r="K80" i="10"/>
  <c r="J80" i="10"/>
  <c r="I80" i="10"/>
  <c r="H80" i="10"/>
  <c r="K79" i="10"/>
  <c r="J79" i="10"/>
  <c r="I79" i="10"/>
  <c r="H79" i="10"/>
  <c r="G79" i="10"/>
  <c r="F79" i="10"/>
  <c r="E79" i="10"/>
  <c r="K78" i="10"/>
  <c r="J78" i="10"/>
  <c r="I78" i="10"/>
  <c r="H78" i="10"/>
  <c r="G78" i="10"/>
  <c r="F78" i="10"/>
  <c r="E78" i="10"/>
  <c r="K77" i="10"/>
  <c r="J77" i="10"/>
  <c r="I77" i="10"/>
  <c r="H77" i="10"/>
  <c r="G77" i="10"/>
  <c r="F77" i="10"/>
  <c r="E77" i="10"/>
  <c r="K76" i="10"/>
  <c r="J76" i="10"/>
  <c r="I76" i="10"/>
  <c r="H76" i="10"/>
  <c r="G76" i="10"/>
  <c r="F76" i="10"/>
  <c r="K75" i="10"/>
  <c r="J75" i="10"/>
  <c r="I75" i="10"/>
  <c r="H75" i="10"/>
  <c r="G75" i="10"/>
  <c r="K74" i="10"/>
  <c r="J74" i="10"/>
  <c r="I74" i="10"/>
  <c r="H74" i="10"/>
  <c r="G74" i="10"/>
  <c r="F74" i="10"/>
  <c r="E74" i="10"/>
  <c r="J87" i="10"/>
  <c r="I87" i="10"/>
  <c r="H87" i="10"/>
  <c r="G87" i="10"/>
  <c r="F87" i="10"/>
  <c r="J86" i="10"/>
  <c r="I86" i="10"/>
  <c r="H86" i="10"/>
  <c r="G86" i="10"/>
  <c r="F86" i="10"/>
  <c r="E86" i="10"/>
  <c r="J73" i="10"/>
  <c r="I73" i="10"/>
  <c r="H73" i="10"/>
  <c r="G73" i="10"/>
  <c r="F73" i="10"/>
  <c r="K72" i="10"/>
  <c r="R72" i="10" s="1"/>
  <c r="J72" i="10"/>
  <c r="I72" i="10"/>
  <c r="P72" i="10" s="1"/>
  <c r="H72" i="10"/>
  <c r="G72" i="10"/>
  <c r="F72" i="10"/>
  <c r="M72" i="10" s="1"/>
  <c r="E72" i="10"/>
  <c r="L72" i="10" s="1"/>
  <c r="K28" i="10"/>
  <c r="J28" i="10"/>
  <c r="I28" i="10"/>
  <c r="H28" i="10"/>
  <c r="G28" i="10"/>
  <c r="F28" i="10"/>
  <c r="E28" i="10"/>
  <c r="K71" i="10"/>
  <c r="J71" i="10"/>
  <c r="I71" i="10"/>
  <c r="H71" i="10"/>
  <c r="G71" i="10"/>
  <c r="F71" i="10"/>
  <c r="E71" i="10"/>
  <c r="K70" i="10"/>
  <c r="J70" i="10"/>
  <c r="K44" i="10"/>
  <c r="R44" i="10" s="1"/>
  <c r="J44" i="10"/>
  <c r="Q44" i="10" s="1"/>
  <c r="I44" i="10"/>
  <c r="P44" i="10" s="1"/>
  <c r="H44" i="10"/>
  <c r="O44" i="10" s="1"/>
  <c r="K69" i="10"/>
  <c r="J69" i="10"/>
  <c r="I69" i="10"/>
  <c r="H69" i="10"/>
  <c r="G69" i="10"/>
  <c r="F69" i="10"/>
  <c r="J68" i="10"/>
  <c r="K67" i="10"/>
  <c r="J67" i="10"/>
  <c r="I67" i="10"/>
  <c r="H67" i="10"/>
  <c r="G67" i="10"/>
  <c r="F67" i="10"/>
  <c r="E67" i="10"/>
  <c r="H66" i="10"/>
  <c r="G66" i="10"/>
  <c r="H65" i="10"/>
  <c r="K30" i="10"/>
  <c r="J30" i="10"/>
  <c r="I30" i="10"/>
  <c r="H30" i="10"/>
  <c r="G30" i="10"/>
  <c r="F30" i="10"/>
  <c r="H64" i="10"/>
  <c r="G64" i="10"/>
  <c r="H63" i="10"/>
  <c r="I62" i="10"/>
  <c r="H61" i="10"/>
  <c r="G61" i="10"/>
  <c r="K43" i="10"/>
  <c r="J43" i="10"/>
  <c r="I43" i="10"/>
  <c r="H43" i="10"/>
  <c r="G43" i="10"/>
  <c r="G60" i="10"/>
  <c r="F60" i="10"/>
  <c r="K42" i="10"/>
  <c r="R42" i="10" s="1"/>
  <c r="J42" i="10"/>
  <c r="Q42" i="10" s="1"/>
  <c r="I42" i="10"/>
  <c r="P42" i="10" s="1"/>
  <c r="H42" i="10"/>
  <c r="O42" i="10" s="1"/>
  <c r="G42" i="10"/>
  <c r="N42" i="10" s="1"/>
  <c r="F42" i="10"/>
  <c r="M42" i="10" s="1"/>
  <c r="E42" i="10"/>
  <c r="L42" i="10" s="1"/>
  <c r="K41" i="10"/>
  <c r="R41" i="10" s="1"/>
  <c r="J41" i="10"/>
  <c r="Q41" i="10" s="1"/>
  <c r="I41" i="10"/>
  <c r="P41" i="10" s="1"/>
  <c r="H41" i="10"/>
  <c r="O41" i="10" s="1"/>
  <c r="G41" i="10"/>
  <c r="N41" i="10" s="1"/>
  <c r="F41" i="10"/>
  <c r="M41" i="10" s="1"/>
  <c r="E41" i="10"/>
  <c r="E40" i="10"/>
  <c r="L40" i="10" s="1"/>
  <c r="K39" i="10"/>
  <c r="J39" i="10"/>
  <c r="I39" i="10"/>
  <c r="H39" i="10"/>
  <c r="G39" i="10"/>
  <c r="F39" i="10"/>
  <c r="K59" i="10"/>
  <c r="I59" i="10"/>
  <c r="K58" i="10"/>
  <c r="J58" i="10"/>
  <c r="I58" i="10"/>
  <c r="H58" i="10"/>
  <c r="G58" i="10"/>
  <c r="F58" i="10"/>
  <c r="G29" i="10"/>
  <c r="F29" i="10"/>
  <c r="E29" i="10"/>
  <c r="J38" i="10"/>
  <c r="I38" i="10"/>
  <c r="H38" i="10"/>
  <c r="O38" i="10" s="1"/>
  <c r="G38" i="10"/>
  <c r="F38" i="10"/>
  <c r="E38" i="10"/>
  <c r="K37" i="10"/>
  <c r="R37" i="10" s="1"/>
  <c r="J37" i="10"/>
  <c r="I37" i="10"/>
  <c r="P37" i="10" s="1"/>
  <c r="H37" i="10"/>
  <c r="G37" i="10"/>
  <c r="F37" i="10"/>
  <c r="E37" i="10"/>
  <c r="L37" i="10" s="1"/>
  <c r="K36" i="10"/>
  <c r="J36" i="10"/>
  <c r="I36" i="10"/>
  <c r="H36" i="10"/>
  <c r="G36" i="10"/>
  <c r="F36" i="10"/>
  <c r="E36" i="10"/>
  <c r="K20" i="10"/>
  <c r="J20" i="10"/>
  <c r="I20" i="10"/>
  <c r="H20" i="10"/>
  <c r="G20" i="10"/>
  <c r="F20" i="10"/>
  <c r="E20" i="10"/>
  <c r="K57" i="10"/>
  <c r="J57" i="10"/>
  <c r="I57" i="10"/>
  <c r="H57" i="10"/>
  <c r="G57" i="10"/>
  <c r="F57" i="10"/>
  <c r="E57" i="10"/>
  <c r="K24" i="10"/>
  <c r="R24" i="10" s="1"/>
  <c r="J24" i="10"/>
  <c r="Q24" i="10" s="1"/>
  <c r="I24" i="10"/>
  <c r="P24" i="10" s="1"/>
  <c r="H24" i="10"/>
  <c r="O24" i="10" s="1"/>
  <c r="G24" i="10"/>
  <c r="N24" i="10" s="1"/>
  <c r="F24" i="10"/>
  <c r="M24" i="10" s="1"/>
  <c r="K23" i="10"/>
  <c r="R23" i="10" s="1"/>
  <c r="J23" i="10"/>
  <c r="Q23" i="10" s="1"/>
  <c r="I23" i="10"/>
  <c r="P23" i="10" s="1"/>
  <c r="H23" i="10"/>
  <c r="O23" i="10" s="1"/>
  <c r="G23" i="10"/>
  <c r="N23" i="10" s="1"/>
  <c r="F23" i="10"/>
  <c r="M23" i="10" s="1"/>
  <c r="E23" i="10"/>
  <c r="L23" i="10" s="1"/>
  <c r="K22" i="10"/>
  <c r="R22" i="10" s="1"/>
  <c r="J22" i="10"/>
  <c r="Q22" i="10" s="1"/>
  <c r="I22" i="10"/>
  <c r="P22" i="10" s="1"/>
  <c r="H22" i="10"/>
  <c r="O22" i="10" s="1"/>
  <c r="G22" i="10"/>
  <c r="N22" i="10" s="1"/>
  <c r="K21" i="10"/>
  <c r="R21" i="10" s="1"/>
  <c r="J21" i="10"/>
  <c r="Q21" i="10" s="1"/>
  <c r="I21" i="10"/>
  <c r="P21" i="10" s="1"/>
  <c r="H21" i="10"/>
  <c r="O21" i="10" s="1"/>
  <c r="G21" i="10"/>
  <c r="N21" i="10" s="1"/>
  <c r="F21" i="10"/>
  <c r="M21" i="10" s="1"/>
  <c r="E21" i="10"/>
  <c r="L21" i="10" s="1"/>
  <c r="H19" i="10"/>
  <c r="G19" i="10"/>
  <c r="K56" i="10"/>
  <c r="J56" i="10"/>
  <c r="H56" i="10"/>
  <c r="F56" i="10"/>
  <c r="K55" i="10"/>
  <c r="R55" i="10" s="1"/>
  <c r="J55" i="10"/>
  <c r="Q55" i="10" s="1"/>
  <c r="I55" i="10"/>
  <c r="P55" i="10" s="1"/>
  <c r="H55" i="10"/>
  <c r="O55" i="10" s="1"/>
  <c r="N55" i="10"/>
  <c r="M55" i="10"/>
  <c r="L55" i="10"/>
  <c r="K35" i="10"/>
  <c r="R35" i="10" s="1"/>
  <c r="J35" i="10"/>
  <c r="Q35" i="10" s="1"/>
  <c r="I35" i="10"/>
  <c r="P35" i="10" s="1"/>
  <c r="H35" i="10"/>
  <c r="O35" i="10" s="1"/>
  <c r="G35" i="10"/>
  <c r="N35" i="10" s="1"/>
  <c r="F35" i="10"/>
  <c r="M35" i="10" s="1"/>
  <c r="K54" i="10"/>
  <c r="J54" i="10"/>
  <c r="I54" i="10"/>
  <c r="H54" i="10"/>
  <c r="F54" i="10"/>
  <c r="E54" i="10"/>
  <c r="K53" i="10"/>
  <c r="J53" i="10"/>
  <c r="I53" i="10"/>
  <c r="H53" i="10"/>
  <c r="G53" i="10"/>
  <c r="F53" i="10"/>
  <c r="E53" i="10"/>
  <c r="K52" i="10"/>
  <c r="J52" i="10"/>
  <c r="I52" i="10"/>
  <c r="H52" i="10"/>
  <c r="G52" i="10"/>
  <c r="F52" i="10"/>
  <c r="K27" i="10"/>
  <c r="J27" i="10"/>
  <c r="I27" i="10"/>
  <c r="H27" i="10"/>
  <c r="G27" i="10"/>
  <c r="F27" i="10"/>
  <c r="E27" i="10"/>
  <c r="K26" i="10"/>
  <c r="J26" i="10"/>
  <c r="I26" i="10"/>
  <c r="H26" i="10"/>
  <c r="G26" i="10"/>
  <c r="F26" i="10"/>
  <c r="E26" i="10"/>
  <c r="I25" i="10"/>
  <c r="H25" i="10"/>
  <c r="G25" i="10"/>
  <c r="F25" i="10"/>
  <c r="E25" i="10"/>
  <c r="K51" i="10"/>
  <c r="J51" i="10"/>
  <c r="I51" i="10"/>
  <c r="H51" i="10"/>
  <c r="G51" i="10"/>
  <c r="F51" i="10"/>
  <c r="E51" i="10"/>
  <c r="J50" i="10"/>
  <c r="I50" i="10"/>
  <c r="H50" i="10"/>
  <c r="G50" i="10"/>
  <c r="F50" i="10"/>
  <c r="K31" i="10"/>
  <c r="J31" i="10"/>
  <c r="I31" i="10"/>
  <c r="H31" i="10"/>
  <c r="G31" i="10"/>
  <c r="F31" i="10"/>
  <c r="E31" i="10"/>
  <c r="K85" i="10"/>
  <c r="J85" i="10"/>
  <c r="I85" i="10"/>
  <c r="H85" i="10"/>
  <c r="G85" i="10"/>
  <c r="F85" i="10"/>
  <c r="E85" i="10"/>
  <c r="J34" i="10"/>
  <c r="I34" i="10"/>
  <c r="H34" i="10"/>
  <c r="G34" i="10"/>
  <c r="F34" i="10"/>
  <c r="E34" i="10"/>
  <c r="K33" i="10"/>
  <c r="J33" i="10"/>
  <c r="I33" i="10"/>
  <c r="H33" i="10"/>
  <c r="G33" i="10"/>
  <c r="K32" i="10"/>
  <c r="J32" i="10"/>
  <c r="I32" i="10"/>
  <c r="H32" i="10"/>
  <c r="G32" i="10"/>
  <c r="F32" i="10"/>
  <c r="M32" i="10" s="1"/>
  <c r="E32" i="10"/>
  <c r="L32" i="10" s="1"/>
  <c r="G49" i="10"/>
  <c r="H48" i="10"/>
  <c r="I47" i="10"/>
  <c r="H47" i="10"/>
  <c r="K84" i="10"/>
  <c r="J84" i="10"/>
  <c r="I84" i="10"/>
  <c r="H84" i="10"/>
  <c r="K83" i="10"/>
  <c r="J83" i="10"/>
  <c r="I83" i="10"/>
  <c r="H83" i="10"/>
  <c r="G83" i="10"/>
  <c r="F83" i="10"/>
  <c r="E83" i="10"/>
  <c r="G46" i="10"/>
  <c r="F46" i="10"/>
  <c r="K18" i="10"/>
  <c r="J18" i="10"/>
  <c r="I18" i="10"/>
  <c r="H18" i="10"/>
  <c r="G18" i="10"/>
  <c r="F18" i="10"/>
  <c r="I45" i="10"/>
  <c r="K17" i="10"/>
  <c r="J17" i="10"/>
  <c r="I17" i="10"/>
  <c r="H17" i="10"/>
  <c r="G17" i="10"/>
  <c r="F17" i="10"/>
  <c r="E17" i="10"/>
  <c r="K16" i="10"/>
  <c r="J16" i="10"/>
  <c r="I16" i="10"/>
  <c r="H16" i="10"/>
  <c r="G16" i="10"/>
  <c r="F16" i="10"/>
  <c r="E16" i="10"/>
  <c r="K15" i="10"/>
  <c r="J15" i="10"/>
  <c r="K14" i="10"/>
  <c r="J14" i="10"/>
  <c r="I14" i="10"/>
  <c r="H14" i="10"/>
  <c r="G14" i="10"/>
  <c r="F14" i="10"/>
  <c r="E14" i="10"/>
  <c r="K13" i="10"/>
  <c r="J13" i="10"/>
  <c r="I13" i="10"/>
  <c r="H13" i="10"/>
  <c r="G13" i="10"/>
  <c r="F13" i="10"/>
  <c r="E13" i="10"/>
  <c r="K12" i="10"/>
  <c r="J12" i="10"/>
  <c r="I12" i="10"/>
  <c r="H12" i="10"/>
  <c r="G12" i="10"/>
  <c r="E11" i="10"/>
  <c r="K10" i="10"/>
  <c r="J10" i="10"/>
  <c r="I10" i="10"/>
  <c r="H10" i="10"/>
  <c r="G10" i="10"/>
  <c r="F10" i="10"/>
  <c r="K9" i="10"/>
  <c r="J9" i="10"/>
  <c r="I9" i="10"/>
  <c r="H9" i="10"/>
  <c r="G9" i="10"/>
  <c r="F9" i="10"/>
  <c r="E9" i="10"/>
  <c r="K8" i="10"/>
  <c r="J8" i="10"/>
  <c r="I8" i="10"/>
  <c r="H8" i="10"/>
  <c r="G8" i="10"/>
  <c r="F8" i="10"/>
  <c r="E8" i="10"/>
  <c r="K7" i="10"/>
  <c r="J7" i="10"/>
  <c r="I7" i="10"/>
  <c r="H7" i="10"/>
  <c r="G7" i="10"/>
  <c r="F7" i="10"/>
  <c r="E7" i="10"/>
  <c r="N37" i="10" l="1"/>
  <c r="M38" i="10"/>
  <c r="Q38" i="10"/>
  <c r="O72" i="10"/>
  <c r="N72" i="10"/>
  <c r="Q72" i="10"/>
  <c r="O73" i="10"/>
  <c r="O37" i="10"/>
  <c r="L38" i="10"/>
  <c r="P38" i="10"/>
  <c r="L41" i="10"/>
  <c r="P73" i="10"/>
  <c r="M73" i="10"/>
  <c r="Q73" i="10"/>
  <c r="M37" i="10"/>
  <c r="Q37" i="10"/>
  <c r="N38" i="10"/>
  <c r="N73" i="10"/>
  <c r="L7" i="10"/>
  <c r="N7" i="10"/>
  <c r="P7" i="10"/>
  <c r="M8" i="10"/>
  <c r="O8" i="10"/>
  <c r="Q8" i="10"/>
  <c r="N32" i="10"/>
  <c r="P32" i="10"/>
  <c r="R32" i="10"/>
  <c r="O33" i="10"/>
  <c r="Q33" i="10"/>
  <c r="L25" i="10"/>
  <c r="N25" i="10"/>
  <c r="P25" i="10"/>
  <c r="M26" i="10"/>
  <c r="O26" i="10"/>
  <c r="Q26" i="10"/>
  <c r="R27" i="10"/>
  <c r="R7" i="10"/>
  <c r="L9" i="10"/>
  <c r="P9" i="10"/>
  <c r="N10" i="10"/>
  <c r="R10" i="10"/>
  <c r="O12" i="10"/>
  <c r="L13" i="10"/>
  <c r="P13" i="10"/>
  <c r="M14" i="10"/>
  <c r="Q14" i="10"/>
  <c r="L16" i="10"/>
  <c r="P16" i="10"/>
  <c r="M17" i="10"/>
  <c r="Q17" i="10"/>
  <c r="P18" i="10"/>
  <c r="N34" i="10"/>
  <c r="N27" i="10"/>
  <c r="M7" i="10"/>
  <c r="O7" i="10"/>
  <c r="Q7" i="10"/>
  <c r="L8" i="10"/>
  <c r="N8" i="10"/>
  <c r="P8" i="10"/>
  <c r="R8" i="10"/>
  <c r="M9" i="10"/>
  <c r="O9" i="10"/>
  <c r="Q9" i="10"/>
  <c r="M10" i="10"/>
  <c r="O10" i="10"/>
  <c r="Q10" i="10"/>
  <c r="L11" i="10"/>
  <c r="N12" i="10"/>
  <c r="P12" i="10"/>
  <c r="R12" i="10"/>
  <c r="M13" i="10"/>
  <c r="O13" i="10"/>
  <c r="Q13" i="10"/>
  <c r="L14" i="10"/>
  <c r="N14" i="10"/>
  <c r="P14" i="10"/>
  <c r="R14" i="10"/>
  <c r="R15" i="10"/>
  <c r="M16" i="10"/>
  <c r="O16" i="10"/>
  <c r="Q16" i="10"/>
  <c r="L17" i="10"/>
  <c r="N17" i="10"/>
  <c r="P17" i="10"/>
  <c r="R17" i="10"/>
  <c r="M18" i="10"/>
  <c r="O18" i="10"/>
  <c r="Q18" i="10"/>
  <c r="O32" i="10"/>
  <c r="Q32" i="10"/>
  <c r="N33" i="10"/>
  <c r="P33" i="10"/>
  <c r="R33" i="10"/>
  <c r="M34" i="10"/>
  <c r="O34" i="10"/>
  <c r="Q34" i="10"/>
  <c r="M25" i="10"/>
  <c r="O25" i="10"/>
  <c r="L26" i="10"/>
  <c r="N26" i="10"/>
  <c r="P26" i="10"/>
  <c r="R26" i="10"/>
  <c r="M27" i="10"/>
  <c r="O27" i="10"/>
  <c r="Q27" i="10"/>
  <c r="N9" i="10"/>
  <c r="R9" i="10"/>
  <c r="P10" i="10"/>
  <c r="Q12" i="10"/>
  <c r="N13" i="10"/>
  <c r="R13" i="10"/>
  <c r="O14" i="10"/>
  <c r="Q15" i="10"/>
  <c r="N16" i="10"/>
  <c r="R16" i="10"/>
  <c r="O17" i="10"/>
  <c r="N18" i="10"/>
  <c r="R18" i="10"/>
  <c r="L34" i="10"/>
  <c r="P34" i="10"/>
  <c r="L27" i="10"/>
  <c r="P27" i="10"/>
  <c r="L48" i="10"/>
  <c r="Q49" i="10"/>
  <c r="M46" i="10"/>
  <c r="Q46" i="10"/>
  <c r="L47" i="10"/>
  <c r="P47" i="10"/>
  <c r="M48" i="10"/>
  <c r="Q48" i="10"/>
  <c r="N49" i="10"/>
  <c r="R49" i="10"/>
  <c r="L50" i="10"/>
  <c r="P50" i="10"/>
  <c r="M51" i="10"/>
  <c r="Q51" i="10"/>
  <c r="L46" i="10"/>
  <c r="P48" i="10"/>
  <c r="P51" i="10"/>
  <c r="N46" i="10"/>
  <c r="R46" i="10"/>
  <c r="M47" i="10"/>
  <c r="Q47" i="10"/>
  <c r="N48" i="10"/>
  <c r="O47" i="10"/>
  <c r="O46" i="10"/>
  <c r="N47" i="10"/>
  <c r="R47" i="10"/>
  <c r="O48" i="10"/>
  <c r="L49" i="10"/>
  <c r="P46" i="10"/>
  <c r="M49" i="10"/>
  <c r="O50" i="10"/>
  <c r="L51" i="10"/>
  <c r="O52" i="10"/>
  <c r="L53" i="10"/>
  <c r="P53" i="10"/>
  <c r="N54" i="10"/>
  <c r="R54" i="10"/>
  <c r="N56" i="10"/>
  <c r="R56" i="10"/>
  <c r="L57" i="10"/>
  <c r="P57" i="10"/>
  <c r="N36" i="10"/>
  <c r="R36" i="10"/>
  <c r="M29" i="10"/>
  <c r="Q29" i="10"/>
  <c r="N58" i="10"/>
  <c r="R58" i="10"/>
  <c r="L52" i="10"/>
  <c r="P52" i="10"/>
  <c r="M53" i="10"/>
  <c r="Q53" i="10"/>
  <c r="O54" i="10"/>
  <c r="O56" i="10"/>
  <c r="M57" i="10"/>
  <c r="Q57" i="10"/>
  <c r="O36" i="10"/>
  <c r="N29" i="10"/>
  <c r="R29" i="10"/>
  <c r="O58" i="10"/>
  <c r="L59" i="10"/>
  <c r="P59" i="10"/>
  <c r="M39" i="10"/>
  <c r="Q39" i="10"/>
  <c r="M60" i="10"/>
  <c r="Q60" i="10"/>
  <c r="N43" i="10"/>
  <c r="R43" i="10"/>
  <c r="O61" i="10"/>
  <c r="L62" i="10"/>
  <c r="P62" i="10"/>
  <c r="M63" i="10"/>
  <c r="Q63" i="10"/>
  <c r="N64" i="10"/>
  <c r="R64" i="10"/>
  <c r="O30" i="10"/>
  <c r="L65" i="10"/>
  <c r="P65" i="10"/>
  <c r="M66" i="10"/>
  <c r="Q66" i="10"/>
  <c r="N67" i="10"/>
  <c r="R67" i="10"/>
  <c r="O68" i="10"/>
  <c r="L69" i="10"/>
  <c r="P69" i="10"/>
  <c r="N70" i="10"/>
  <c r="R70" i="10"/>
  <c r="O71" i="10"/>
  <c r="L28" i="10"/>
  <c r="P28" i="10"/>
  <c r="M74" i="10"/>
  <c r="Q74" i="10"/>
  <c r="N75" i="10"/>
  <c r="R75" i="10"/>
  <c r="O76" i="10"/>
  <c r="L77" i="10"/>
  <c r="P77" i="10"/>
  <c r="M78" i="10"/>
  <c r="Q78" i="10"/>
  <c r="N79" i="10"/>
  <c r="R79" i="10"/>
  <c r="O80" i="10"/>
  <c r="L81" i="10"/>
  <c r="P81" i="10"/>
  <c r="M82" i="10"/>
  <c r="Q82" i="10"/>
  <c r="R48" i="10"/>
  <c r="O49" i="10"/>
  <c r="M50" i="10"/>
  <c r="Q50" i="10"/>
  <c r="N51" i="10"/>
  <c r="R51" i="10"/>
  <c r="M52" i="10"/>
  <c r="Q52" i="10"/>
  <c r="N53" i="10"/>
  <c r="R53" i="10"/>
  <c r="L54" i="10"/>
  <c r="P54" i="10"/>
  <c r="L56" i="10"/>
  <c r="P56" i="10"/>
  <c r="N57" i="10"/>
  <c r="R57" i="10"/>
  <c r="L36" i="10"/>
  <c r="P36" i="10"/>
  <c r="O29" i="10"/>
  <c r="L58" i="10"/>
  <c r="P58" i="10"/>
  <c r="M59" i="10"/>
  <c r="Q59" i="10"/>
  <c r="N39" i="10"/>
  <c r="R39" i="10"/>
  <c r="N60" i="10"/>
  <c r="R60" i="10"/>
  <c r="O43" i="10"/>
  <c r="L61" i="10"/>
  <c r="P61" i="10"/>
  <c r="M62" i="10"/>
  <c r="Q62" i="10"/>
  <c r="N63" i="10"/>
  <c r="R63" i="10"/>
  <c r="O64" i="10"/>
  <c r="L30" i="10"/>
  <c r="P30" i="10"/>
  <c r="M65" i="10"/>
  <c r="Q65" i="10"/>
  <c r="N66" i="10"/>
  <c r="R66" i="10"/>
  <c r="O67" i="10"/>
  <c r="L68" i="10"/>
  <c r="P68" i="10"/>
  <c r="M69" i="10"/>
  <c r="Q69" i="10"/>
  <c r="O70" i="10"/>
  <c r="L71" i="10"/>
  <c r="P71" i="10"/>
  <c r="M28" i="10"/>
  <c r="Q28" i="10"/>
  <c r="N74" i="10"/>
  <c r="R74" i="10"/>
  <c r="O75" i="10"/>
  <c r="L76" i="10"/>
  <c r="P76" i="10"/>
  <c r="M77" i="10"/>
  <c r="Q77" i="10"/>
  <c r="N78" i="10"/>
  <c r="R78" i="10"/>
  <c r="O79" i="10"/>
  <c r="L80" i="10"/>
  <c r="P80" i="10"/>
  <c r="M81" i="10"/>
  <c r="Q81" i="10"/>
  <c r="N82" i="10"/>
  <c r="R82" i="10"/>
  <c r="P49" i="10"/>
  <c r="N50" i="10"/>
  <c r="R50" i="10"/>
  <c r="O51" i="10"/>
  <c r="N52" i="10"/>
  <c r="R52" i="10"/>
  <c r="O53" i="10"/>
  <c r="M54" i="10"/>
  <c r="Q54" i="10"/>
  <c r="M56" i="10"/>
  <c r="Q56" i="10"/>
  <c r="O57" i="10"/>
  <c r="M36" i="10"/>
  <c r="Q36" i="10"/>
  <c r="L29" i="10"/>
  <c r="P29" i="10"/>
  <c r="M58" i="10"/>
  <c r="Q58" i="10"/>
  <c r="N59" i="10"/>
  <c r="R59" i="10"/>
  <c r="O39" i="10"/>
  <c r="O60" i="10"/>
  <c r="L43" i="10"/>
  <c r="P43" i="10"/>
  <c r="M61" i="10"/>
  <c r="Q61" i="10"/>
  <c r="N62" i="10"/>
  <c r="R62" i="10"/>
  <c r="O63" i="10"/>
  <c r="L64" i="10"/>
  <c r="P64" i="10"/>
  <c r="M30" i="10"/>
  <c r="Q30" i="10"/>
  <c r="N65" i="10"/>
  <c r="R65" i="10"/>
  <c r="O66" i="10"/>
  <c r="L67" i="10"/>
  <c r="P67" i="10"/>
  <c r="M68" i="10"/>
  <c r="Q68" i="10"/>
  <c r="N69" i="10"/>
  <c r="R69" i="10"/>
  <c r="L70" i="10"/>
  <c r="P70" i="10"/>
  <c r="M71" i="10"/>
  <c r="Q71" i="10"/>
  <c r="N28" i="10"/>
  <c r="R28" i="10"/>
  <c r="O74" i="10"/>
  <c r="L75" i="10"/>
  <c r="P75" i="10"/>
  <c r="M76" i="10"/>
  <c r="Q76" i="10"/>
  <c r="N77" i="10"/>
  <c r="R77" i="10"/>
  <c r="O78" i="10"/>
  <c r="L79" i="10"/>
  <c r="P79" i="10"/>
  <c r="M80" i="10"/>
  <c r="Q80" i="10"/>
  <c r="N81" i="10"/>
  <c r="R81" i="10"/>
  <c r="O82" i="10"/>
  <c r="O59" i="10"/>
  <c r="L39" i="10"/>
  <c r="P39" i="10"/>
  <c r="L60" i="10"/>
  <c r="P60" i="10"/>
  <c r="M43" i="10"/>
  <c r="Q43" i="10"/>
  <c r="N61" i="10"/>
  <c r="R61" i="10"/>
  <c r="O62" i="10"/>
  <c r="L63" i="10"/>
  <c r="P63" i="10"/>
  <c r="M64" i="10"/>
  <c r="Q64" i="10"/>
  <c r="N30" i="10"/>
  <c r="R30" i="10"/>
  <c r="O65" i="10"/>
  <c r="L66" i="10"/>
  <c r="P66" i="10"/>
  <c r="M67" i="10"/>
  <c r="Q67" i="10"/>
  <c r="N68" i="10"/>
  <c r="R68" i="10"/>
  <c r="O69" i="10"/>
  <c r="M70" i="10"/>
  <c r="Q70" i="10"/>
  <c r="N71" i="10"/>
  <c r="R71" i="10"/>
  <c r="O28" i="10"/>
  <c r="L74" i="10"/>
  <c r="P74" i="10"/>
  <c r="M75" i="10"/>
  <c r="Q75" i="10"/>
  <c r="N76" i="10"/>
  <c r="R76" i="10"/>
  <c r="O77" i="10"/>
  <c r="L78" i="10"/>
  <c r="P78" i="10"/>
  <c r="M79" i="10"/>
  <c r="Q79" i="10"/>
  <c r="N80" i="10"/>
  <c r="R80" i="10"/>
  <c r="O81" i="10"/>
  <c r="L82" i="10"/>
  <c r="P82" i="10"/>
  <c r="O31" i="10"/>
  <c r="L19" i="10"/>
  <c r="L45" i="10"/>
  <c r="P45" i="10"/>
  <c r="L31" i="10"/>
  <c r="P31" i="10"/>
  <c r="M19" i="10"/>
  <c r="Q19" i="10"/>
  <c r="P19" i="10"/>
  <c r="M45" i="10"/>
  <c r="Q45" i="10"/>
  <c r="M31" i="10"/>
  <c r="Q31" i="10"/>
  <c r="R19" i="10"/>
  <c r="O45" i="10"/>
  <c r="N45" i="10"/>
  <c r="R45" i="10"/>
  <c r="N31" i="10"/>
  <c r="R31" i="10"/>
  <c r="L20" i="10"/>
  <c r="N20" i="10"/>
  <c r="P20" i="10"/>
  <c r="O19" i="10"/>
  <c r="R20" i="10"/>
  <c r="O20" i="10"/>
  <c r="M20" i="10"/>
  <c r="Q20" i="10"/>
  <c r="N19" i="10"/>
  <c r="P2" i="10" l="1"/>
  <c r="L2" i="10"/>
  <c r="O2" i="10"/>
  <c r="N2" i="10"/>
  <c r="R2" i="10"/>
  <c r="Q2" i="10"/>
  <c r="M2" i="10"/>
  <c r="L84" i="2" l="1"/>
  <c r="H84" i="2"/>
  <c r="I84" i="2"/>
  <c r="J84" i="2"/>
  <c r="F84" i="2"/>
  <c r="K84" i="2"/>
  <c r="G84" i="2"/>
</calcChain>
</file>

<file path=xl/sharedStrings.xml><?xml version="1.0" encoding="utf-8"?>
<sst xmlns="http://schemas.openxmlformats.org/spreadsheetml/2006/main" count="925" uniqueCount="281">
  <si>
    <t>city</t>
  </si>
  <si>
    <t>instrument</t>
  </si>
  <si>
    <t>HAPINZ_name</t>
  </si>
  <si>
    <t>notes</t>
  </si>
  <si>
    <t>Christchurch</t>
  </si>
  <si>
    <t>FDMS</t>
  </si>
  <si>
    <t>BAM</t>
  </si>
  <si>
    <t>Timaru</t>
  </si>
  <si>
    <t>Helensville</t>
  </si>
  <si>
    <t>Kumeu</t>
  </si>
  <si>
    <t>Auckland</t>
  </si>
  <si>
    <t>Takapuna I</t>
  </si>
  <si>
    <t>Takapuna</t>
  </si>
  <si>
    <t>Waiheke Island</t>
  </si>
  <si>
    <t>Waiheke</t>
  </si>
  <si>
    <t>Rotorua</t>
  </si>
  <si>
    <t>Edmund Rd</t>
  </si>
  <si>
    <t>Rotorua 1 - Edmond Road</t>
  </si>
  <si>
    <t>Ashburton</t>
  </si>
  <si>
    <t>Geraldine</t>
  </si>
  <si>
    <t>Kaiapoi</t>
  </si>
  <si>
    <t>Rangiora</t>
  </si>
  <si>
    <t>Waimate</t>
  </si>
  <si>
    <t>Gore</t>
  </si>
  <si>
    <t>Invercargill</t>
  </si>
  <si>
    <t>Pomona Street</t>
  </si>
  <si>
    <t>Invercargill Pomona</t>
  </si>
  <si>
    <t>Matamata</t>
  </si>
  <si>
    <t>Ngaruawahia</t>
  </si>
  <si>
    <t>Hamilton</t>
  </si>
  <si>
    <t>Peachgrove Rd</t>
  </si>
  <si>
    <t>TEOM</t>
  </si>
  <si>
    <t>Putaruru</t>
  </si>
  <si>
    <t>Taupo</t>
  </si>
  <si>
    <t>Te Kuiti</t>
  </si>
  <si>
    <t>Tokoroa</t>
  </si>
  <si>
    <t>Turangi</t>
  </si>
  <si>
    <t>Waihi</t>
  </si>
  <si>
    <t>Partisol</t>
  </si>
  <si>
    <t>Lower Hutt</t>
  </si>
  <si>
    <t>Birch Lane</t>
  </si>
  <si>
    <t>Wellington</t>
  </si>
  <si>
    <t>Corner V</t>
  </si>
  <si>
    <t>Wellington Central</t>
  </si>
  <si>
    <t>Karori</t>
  </si>
  <si>
    <t>Wairarapa</t>
  </si>
  <si>
    <t>Masterton</t>
  </si>
  <si>
    <t>Porirua</t>
  </si>
  <si>
    <t>Tawa</t>
  </si>
  <si>
    <t>Upper Hutt</t>
  </si>
  <si>
    <t>Wainuiomata</t>
  </si>
  <si>
    <t>Napier</t>
  </si>
  <si>
    <t>Marewa Park</t>
  </si>
  <si>
    <t>Hastings</t>
  </si>
  <si>
    <t>St.Johns College</t>
  </si>
  <si>
    <t>Taihape</t>
  </si>
  <si>
    <t>Taumarunui</t>
  </si>
  <si>
    <t>Blenheim</t>
  </si>
  <si>
    <t>Redwoodtown</t>
  </si>
  <si>
    <t>Blenheim Redwoodtown</t>
  </si>
  <si>
    <t>Nelson</t>
  </si>
  <si>
    <t>Blackwood Street</t>
  </si>
  <si>
    <t>Nelson Airshed B1</t>
  </si>
  <si>
    <t>St Vincent</t>
  </si>
  <si>
    <t>Nelson Airshed A</t>
  </si>
  <si>
    <t>Kaitaia</t>
  </si>
  <si>
    <t>Grimm</t>
  </si>
  <si>
    <t>Whangarei</t>
  </si>
  <si>
    <t>Robert St</t>
  </si>
  <si>
    <t>ORC 1</t>
  </si>
  <si>
    <t>Alexandra</t>
  </si>
  <si>
    <t>ORC4</t>
  </si>
  <si>
    <t>Lawrence</t>
  </si>
  <si>
    <t>EBAM</t>
  </si>
  <si>
    <t>Richmond</t>
  </si>
  <si>
    <t>Richmond Central</t>
  </si>
  <si>
    <t>Reefton</t>
  </si>
  <si>
    <t>Botany Downs</t>
  </si>
  <si>
    <t>Glen Eden</t>
  </si>
  <si>
    <t>Henderson</t>
  </si>
  <si>
    <t>Khyber Pass</t>
  </si>
  <si>
    <t>Kingsland</t>
  </si>
  <si>
    <t>Orewa</t>
  </si>
  <si>
    <t>Pakuranga</t>
  </si>
  <si>
    <t>rural</t>
  </si>
  <si>
    <t>Patumahoe</t>
  </si>
  <si>
    <t>Penrose II</t>
  </si>
  <si>
    <t>Port of Auckland</t>
  </si>
  <si>
    <t>Pukekohe</t>
  </si>
  <si>
    <t>Queen St II</t>
  </si>
  <si>
    <t>Queen Street</t>
  </si>
  <si>
    <t>Waiuku</t>
  </si>
  <si>
    <t>Warkworth</t>
  </si>
  <si>
    <t>Whangaparaoa</t>
  </si>
  <si>
    <t>Kawerau</t>
  </si>
  <si>
    <t>Whakatane</t>
  </si>
  <si>
    <t>Kopeopeo</t>
  </si>
  <si>
    <t>Tauranga</t>
  </si>
  <si>
    <t>Ngapuna</t>
  </si>
  <si>
    <t>Rotorua Ngapuna</t>
  </si>
  <si>
    <t>Otumoetai</t>
  </si>
  <si>
    <t>Tauranga Otumoetai</t>
  </si>
  <si>
    <t>Pererika Street</t>
  </si>
  <si>
    <t>Rotorua - Pererika Site</t>
  </si>
  <si>
    <t>Pongakawa</t>
  </si>
  <si>
    <t>Te Puke</t>
  </si>
  <si>
    <t>Anzac Park</t>
  </si>
  <si>
    <t>Burnside</t>
  </si>
  <si>
    <t>Christchurch Burnside</t>
  </si>
  <si>
    <t>Kaikoura</t>
  </si>
  <si>
    <t>St Albans</t>
  </si>
  <si>
    <t>Christchurch St Albans</t>
  </si>
  <si>
    <t>Washdyke</t>
  </si>
  <si>
    <t>Woolston</t>
  </si>
  <si>
    <t>Christchurch Woolston</t>
  </si>
  <si>
    <t>Bluff</t>
  </si>
  <si>
    <t>Mataura</t>
  </si>
  <si>
    <t>Riverton</t>
  </si>
  <si>
    <t>Te Anau</t>
  </si>
  <si>
    <t>Wallacetown</t>
  </si>
  <si>
    <t>Winton</t>
  </si>
  <si>
    <t>Huntly</t>
  </si>
  <si>
    <t>Croft Tce</t>
  </si>
  <si>
    <t>Great South Rd</t>
  </si>
  <si>
    <t>Pukekapia Rd</t>
  </si>
  <si>
    <t>Ralph Rd</t>
  </si>
  <si>
    <t>Gisborne</t>
  </si>
  <si>
    <t>Taradale</t>
  </si>
  <si>
    <t>Meeanee</t>
  </si>
  <si>
    <t>Palmerston North</t>
  </si>
  <si>
    <t>Picton</t>
  </si>
  <si>
    <t>Nelson Airshed C</t>
  </si>
  <si>
    <t>Vivan Place</t>
  </si>
  <si>
    <t>Ruakaka</t>
  </si>
  <si>
    <t>Arrowtown</t>
  </si>
  <si>
    <t>Balclutha</t>
  </si>
  <si>
    <t>Clyde</t>
  </si>
  <si>
    <t>Cromwell</t>
  </si>
  <si>
    <t>Dunedin</t>
  </si>
  <si>
    <t>Milton</t>
  </si>
  <si>
    <t>Mosgiel</t>
  </si>
  <si>
    <t>Naseby</t>
  </si>
  <si>
    <t>Oamaru</t>
  </si>
  <si>
    <t>Ranfurly</t>
  </si>
  <si>
    <t>New Plymouth</t>
  </si>
  <si>
    <t>Westport</t>
  </si>
  <si>
    <t>region</t>
  </si>
  <si>
    <t>Bay Of Plenty</t>
  </si>
  <si>
    <t>Canterbury</t>
  </si>
  <si>
    <t>Southland</t>
  </si>
  <si>
    <t>Waikato</t>
  </si>
  <si>
    <t>Greater Wellington</t>
  </si>
  <si>
    <t>Hawkes Bay</t>
  </si>
  <si>
    <t>Manawatu-Whanganui</t>
  </si>
  <si>
    <t>Marlborough</t>
  </si>
  <si>
    <t xml:space="preserve">Nelson  </t>
  </si>
  <si>
    <t>Northland</t>
  </si>
  <si>
    <t>Otago</t>
  </si>
  <si>
    <t xml:space="preserve">Otago  </t>
  </si>
  <si>
    <t>Tasman</t>
  </si>
  <si>
    <t>West Coast</t>
  </si>
  <si>
    <t>included, despite &lt;75%, due to national importance as rare rural site</t>
  </si>
  <si>
    <t>This spreadsheet contains the annual mean PM10 concentration data used for the purposes of the MfE Environmental Domain Report 2014.</t>
  </si>
  <si>
    <t>The spreadsheet was created by NIWA Ltd under contract to the Ministry for the Environment in Jan 2014.</t>
  </si>
  <si>
    <t>Sites where data has been recorded but does not meet the 75 % criteria are also listed, but no PM10 data is given.</t>
  </si>
  <si>
    <t xml:space="preserve">Napier </t>
  </si>
  <si>
    <t>Wanganui</t>
  </si>
  <si>
    <t>Levin</t>
  </si>
  <si>
    <t>Cambridge</t>
  </si>
  <si>
    <t xml:space="preserve">Te Awamutu </t>
  </si>
  <si>
    <t>Feilding</t>
  </si>
  <si>
    <t>Queenstown</t>
  </si>
  <si>
    <t>Hawera</t>
  </si>
  <si>
    <t>Greymouth</t>
  </si>
  <si>
    <t>Rolleston</t>
  </si>
  <si>
    <t>Motueka</t>
  </si>
  <si>
    <t>Morrinsville</t>
  </si>
  <si>
    <t>Thames</t>
  </si>
  <si>
    <t>Kerikeri</t>
  </si>
  <si>
    <t>Waitara</t>
  </si>
  <si>
    <t>Wanaka</t>
  </si>
  <si>
    <t>Stratford</t>
  </si>
  <si>
    <t>Dannevirke</t>
  </si>
  <si>
    <t>Carterton</t>
  </si>
  <si>
    <t>Marton</t>
  </si>
  <si>
    <t>Whitianga</t>
  </si>
  <si>
    <t xml:space="preserve">Foxton </t>
  </si>
  <si>
    <t>Dargaville</t>
  </si>
  <si>
    <t>Snells Beach</t>
  </si>
  <si>
    <t xml:space="preserve">Katikati </t>
  </si>
  <si>
    <t>Wairoa</t>
  </si>
  <si>
    <t>Temuka</t>
  </si>
  <si>
    <t>Lincoln</t>
  </si>
  <si>
    <t>Kaikohe</t>
  </si>
  <si>
    <t>Te Aroha</t>
  </si>
  <si>
    <t>Paeroa</t>
  </si>
  <si>
    <t>Opotiki</t>
  </si>
  <si>
    <t>Waipukurau</t>
  </si>
  <si>
    <t>Whangamata</t>
  </si>
  <si>
    <t>Hokitika</t>
  </si>
  <si>
    <t>Inglewood</t>
  </si>
  <si>
    <t>Woodend</t>
  </si>
  <si>
    <t>Raglan</t>
  </si>
  <si>
    <t>Otorohanga</t>
  </si>
  <si>
    <t>Pahiatua</t>
  </si>
  <si>
    <t>Featherston</t>
  </si>
  <si>
    <t>Greytown</t>
  </si>
  <si>
    <t>Wakefield</t>
  </si>
  <si>
    <t>Waipawa</t>
  </si>
  <si>
    <t>Eltham</t>
  </si>
  <si>
    <t>Waihi Beach</t>
  </si>
  <si>
    <t>Darfield</t>
  </si>
  <si>
    <t>Oxford</t>
  </si>
  <si>
    <t>Brightwater</t>
  </si>
  <si>
    <t>Paihia</t>
  </si>
  <si>
    <t>Wellsford</t>
  </si>
  <si>
    <t>Taipa Bay-Mangonui</t>
  </si>
  <si>
    <t>Murupara</t>
  </si>
  <si>
    <t>Edgecumbe</t>
  </si>
  <si>
    <t>Bulls</t>
  </si>
  <si>
    <t>Leeston</t>
  </si>
  <si>
    <t>Coromandel</t>
  </si>
  <si>
    <t>Martinborough</t>
  </si>
  <si>
    <t>Moerewa</t>
  </si>
  <si>
    <t>Woodville</t>
  </si>
  <si>
    <t>Opunake</t>
  </si>
  <si>
    <t>Pleasant Point</t>
  </si>
  <si>
    <t>Shannon</t>
  </si>
  <si>
    <t>Takaka</t>
  </si>
  <si>
    <t>Tairua</t>
  </si>
  <si>
    <t>Kawakawa</t>
  </si>
  <si>
    <t xml:space="preserve">Twizel </t>
  </si>
  <si>
    <t>Patea</t>
  </si>
  <si>
    <t>Raetihi</t>
  </si>
  <si>
    <t>Ohakune</t>
  </si>
  <si>
    <t>Manaia</t>
  </si>
  <si>
    <t>Hanmer Springs</t>
  </si>
  <si>
    <t>Mangakino</t>
  </si>
  <si>
    <t>Waiouru</t>
  </si>
  <si>
    <t>Russell</t>
  </si>
  <si>
    <t>Rural</t>
  </si>
  <si>
    <t>PM10 site name</t>
  </si>
  <si>
    <t>town/city</t>
  </si>
  <si>
    <t>Kapiti</t>
  </si>
  <si>
    <t>Otaki</t>
  </si>
  <si>
    <t>population represented by PM10 monitoring site</t>
  </si>
  <si>
    <t>not including Kaiapoi</t>
  </si>
  <si>
    <t>not including Wainuiomata</t>
  </si>
  <si>
    <t>not including Ngaruwahia</t>
  </si>
  <si>
    <t>not including Mosgiel</t>
  </si>
  <si>
    <t>yes</t>
  </si>
  <si>
    <t>no</t>
  </si>
  <si>
    <t>Wairarapa is not included in Greater Wellington</t>
  </si>
  <si>
    <t>multi-PM10-site urban area?</t>
  </si>
  <si>
    <t>Where urban areas contain multiple PM10 sites, the represented population is split equally between sites</t>
  </si>
  <si>
    <t xml:space="preserve">Annual Mean Measured Concentrations </t>
  </si>
  <si>
    <t>(concentrations sourced from Regional and District Councils)</t>
  </si>
  <si>
    <t>annual mean PM10 (where coverage &gt;75% valid data) (ug/m3)</t>
  </si>
  <si>
    <t>Worksheet</t>
  </si>
  <si>
    <t>Description</t>
  </si>
  <si>
    <t>stores annual mean PM10 concentrations where valid data exceeds 75 % (of 24-hour periods).</t>
  </si>
  <si>
    <t xml:space="preserve">merges PM10 data and  population data </t>
  </si>
  <si>
    <t>Annual mean PM10 / ug m-3</t>
  </si>
  <si>
    <t>Total # Sites</t>
  </si>
  <si>
    <t>Island</t>
  </si>
  <si>
    <t>North</t>
  </si>
  <si>
    <t>South</t>
  </si>
  <si>
    <t>Nelson Airshed B</t>
  </si>
  <si>
    <t>INDICATOR OF STATE</t>
  </si>
  <si>
    <t>Town Populations represented by PM10 Sites</t>
  </si>
  <si>
    <t>Represented population</t>
  </si>
  <si>
    <t>Mt. Maunganui</t>
  </si>
  <si>
    <t>(population weighted PM10)</t>
  </si>
  <si>
    <t>provide population estimates from Stats NZ based on 2006 Census CAUs as of 30 June</t>
  </si>
  <si>
    <t>Indicator of State</t>
  </si>
  <si>
    <t>Calculates the Indicator fo State - population weighted PM10</t>
  </si>
  <si>
    <t>Represented Populations</t>
  </si>
  <si>
    <t>Annual Mean</t>
  </si>
  <si>
    <t>The data was provided by Regional and District Councils and Stats NZ</t>
  </si>
  <si>
    <t>not including Mt Maunganui</t>
  </si>
  <si>
    <t>total NZ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</si>
</sst>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8">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0"/>
      <color indexed="12"/>
      <name val="Arial"/>
      <family val="2"/>
    </font>
    <font>
      <b/>
      <sz val="11"/>
      <name val="Calibri"/>
      <family val="2"/>
      <scheme val="minor"/>
    </font>
    <font>
      <sz val="10"/>
      <color theme="1"/>
      <name val="Calibri"/>
      <family val="2"/>
      <scheme val="minor"/>
    </font>
    <font>
      <sz val="16"/>
      <color theme="1"/>
      <name val="Calibri"/>
      <family val="2"/>
      <scheme val="minor"/>
    </font>
    <font>
      <sz val="10"/>
      <name val="Arial Mäori"/>
      <family val="2"/>
    </font>
    <font>
      <sz val="16"/>
      <name val="Calibri"/>
      <family val="2"/>
      <scheme val="minor"/>
    </font>
    <font>
      <b/>
      <sz val="16"/>
      <name val="Calibri"/>
      <family val="2"/>
      <scheme val="minor"/>
    </font>
    <font>
      <sz val="10"/>
      <name val="MS Sans Serif"/>
      <family val="2"/>
    </font>
    <font>
      <sz val="10"/>
      <name val="Arial"/>
      <family val="2"/>
    </font>
    <font>
      <sz val="10"/>
      <name val="Times New Roman"/>
      <family val="1"/>
    </font>
    <font>
      <sz val="8"/>
      <name val="Arial"/>
      <family val="2"/>
    </font>
    <font>
      <sz val="8"/>
      <name val="Arial Mäori"/>
      <family val="2"/>
    </font>
    <font>
      <u/>
      <sz val="10"/>
      <color theme="10"/>
      <name val="Arial"/>
      <family val="2"/>
    </font>
    <font>
      <sz val="10"/>
      <color theme="1"/>
      <name val="Arial Mäo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1" tint="0.499984740745262"/>
        <bgColor indexed="64"/>
      </patternFill>
    </fill>
  </fills>
  <borders count="19">
    <border>
      <left/>
      <right/>
      <top/>
      <bottom/>
      <diagonal/>
    </border>
    <border>
      <left style="medium">
        <color auto="1"/>
      </left>
      <right style="medium">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15">
    <xf numFmtId="0" fontId="0" fillId="0" borderId="0"/>
    <xf numFmtId="0" fontId="4" fillId="0" borderId="0" applyNumberFormat="0" applyFill="0" applyBorder="0" applyAlignment="0" applyProtection="0">
      <alignment vertical="top"/>
      <protection locked="0"/>
    </xf>
    <xf numFmtId="0" fontId="11" fillId="0" borderId="0"/>
    <xf numFmtId="0" fontId="12"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3" fillId="0" borderId="0"/>
    <xf numFmtId="0" fontId="13" fillId="0" borderId="0"/>
    <xf numFmtId="0" fontId="13" fillId="0" borderId="0"/>
    <xf numFmtId="0" fontId="17" fillId="0" borderId="0"/>
    <xf numFmtId="0" fontId="13" fillId="0" borderId="0"/>
    <xf numFmtId="0" fontId="17" fillId="0" borderId="0"/>
    <xf numFmtId="0" fontId="17" fillId="0" borderId="0"/>
    <xf numFmtId="0" fontId="17"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7" fillId="0" borderId="0"/>
    <xf numFmtId="0" fontId="13" fillId="0" borderId="0"/>
    <xf numFmtId="0" fontId="13" fillId="0" borderId="0"/>
    <xf numFmtId="0" fontId="13" fillId="0" borderId="0"/>
    <xf numFmtId="0" fontId="17" fillId="0" borderId="0"/>
    <xf numFmtId="0" fontId="17"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4"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155">
    <xf numFmtId="0" fontId="0" fillId="0" borderId="0" xfId="0"/>
    <xf numFmtId="0" fontId="0" fillId="0" borderId="0" xfId="0" applyFont="1" applyFill="1" applyBorder="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xf numFmtId="0" fontId="2" fillId="0" borderId="0" xfId="0" applyFont="1" applyFill="1" applyBorder="1" applyAlignment="1" applyProtection="1">
      <alignment vertical="center"/>
    </xf>
    <xf numFmtId="0" fontId="3" fillId="0" borderId="0" xfId="0" applyFont="1" applyFill="1" applyBorder="1"/>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xf numFmtId="0" fontId="2" fillId="0" borderId="0" xfId="0" applyFont="1" applyFill="1" applyBorder="1"/>
    <xf numFmtId="0" fontId="2" fillId="0" borderId="0" xfId="1"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2" fillId="0" borderId="0" xfId="1" applyFont="1" applyFill="1" applyBorder="1" applyAlignment="1" applyProtection="1">
      <alignment horizontal="left" vertical="center"/>
    </xf>
    <xf numFmtId="0" fontId="2" fillId="0" borderId="0" xfId="0" applyFont="1" applyFill="1" applyBorder="1" applyAlignment="1"/>
    <xf numFmtId="0" fontId="0" fillId="0" borderId="0" xfId="0" quotePrefix="1" applyNumberFormat="1" applyFont="1" applyFill="1" applyBorder="1" applyAlignment="1">
      <alignment vertical="center"/>
    </xf>
    <xf numFmtId="0" fontId="2" fillId="0" borderId="0" xfId="0" applyFont="1" applyFill="1" applyBorder="1" applyAlignment="1">
      <alignment horizontal="left"/>
    </xf>
    <xf numFmtId="0" fontId="0" fillId="0" borderId="1" xfId="0" applyFont="1" applyFill="1" applyBorder="1" applyAlignment="1"/>
    <xf numFmtId="0" fontId="0" fillId="0" borderId="1" xfId="0" applyFont="1" applyFill="1" applyBorder="1" applyAlignment="1">
      <alignment vertical="center"/>
    </xf>
    <xf numFmtId="0" fontId="0" fillId="0" borderId="0" xfId="0" applyFont="1"/>
    <xf numFmtId="0" fontId="0" fillId="0" borderId="0" xfId="0" applyFont="1" applyAlignment="1"/>
    <xf numFmtId="164" fontId="0" fillId="0" borderId="0" xfId="0" applyNumberFormat="1" applyFont="1"/>
    <xf numFmtId="0" fontId="0" fillId="0" borderId="4" xfId="0" applyFont="1" applyBorder="1"/>
    <xf numFmtId="0" fontId="0" fillId="0" borderId="0" xfId="0" applyFont="1" applyBorder="1"/>
    <xf numFmtId="164" fontId="0" fillId="0" borderId="0" xfId="0" applyNumberFormat="1" applyFont="1" applyBorder="1"/>
    <xf numFmtId="0" fontId="0" fillId="0" borderId="0" xfId="0" applyFill="1"/>
    <xf numFmtId="0" fontId="0" fillId="2" borderId="0" xfId="0" applyFont="1" applyFill="1" applyBorder="1" applyAlignment="1"/>
    <xf numFmtId="1" fontId="0" fillId="0" borderId="0" xfId="0" applyNumberFormat="1" applyFont="1"/>
    <xf numFmtId="0" fontId="0" fillId="2" borderId="0" xfId="0" applyFont="1" applyFill="1" applyBorder="1" applyAlignment="1">
      <alignment horizontal="right"/>
    </xf>
    <xf numFmtId="0" fontId="6" fillId="2" borderId="0" xfId="0" applyFont="1" applyFill="1" applyBorder="1" applyAlignment="1">
      <alignment horizontal="right"/>
    </xf>
    <xf numFmtId="0" fontId="0" fillId="2" borderId="0" xfId="0" applyFont="1" applyFill="1" applyBorder="1"/>
    <xf numFmtId="0" fontId="0" fillId="0" borderId="0" xfId="0" applyFont="1" applyBorder="1" applyAlignment="1">
      <alignment horizontal="right"/>
    </xf>
    <xf numFmtId="0" fontId="0" fillId="0" borderId="0" xfId="0" applyFont="1" applyBorder="1" applyAlignment="1"/>
    <xf numFmtId="0" fontId="0" fillId="2" borderId="0" xfId="0" applyFont="1" applyFill="1" applyBorder="1" applyAlignment="1">
      <alignment horizontal="left"/>
    </xf>
    <xf numFmtId="164" fontId="0" fillId="2" borderId="0" xfId="0" applyNumberFormat="1" applyFont="1" applyFill="1" applyBorder="1" applyAlignment="1">
      <alignment horizontal="left" indent="2"/>
    </xf>
    <xf numFmtId="164" fontId="0" fillId="2" borderId="0" xfId="0" applyNumberFormat="1" applyFont="1" applyFill="1" applyBorder="1" applyAlignment="1">
      <alignment horizontal="right"/>
    </xf>
    <xf numFmtId="0" fontId="0" fillId="2" borderId="0" xfId="0" applyFont="1" applyFill="1" applyAlignment="1">
      <alignment horizontal="right"/>
    </xf>
    <xf numFmtId="164" fontId="0" fillId="0" borderId="4" xfId="0" applyNumberFormat="1" applyFont="1" applyFill="1" applyBorder="1"/>
    <xf numFmtId="0" fontId="0" fillId="2" borderId="5" xfId="0" applyFont="1" applyFill="1" applyBorder="1" applyAlignment="1">
      <alignment horizontal="right"/>
    </xf>
    <xf numFmtId="1" fontId="0" fillId="0" borderId="5" xfId="0" applyNumberFormat="1" applyFont="1" applyFill="1" applyBorder="1" applyAlignment="1">
      <alignment horizontal="right"/>
    </xf>
    <xf numFmtId="0" fontId="0" fillId="0" borderId="1" xfId="0" applyFont="1" applyFill="1" applyBorder="1"/>
    <xf numFmtId="0" fontId="1" fillId="2" borderId="0" xfId="0" applyFont="1" applyFill="1"/>
    <xf numFmtId="0" fontId="0" fillId="2" borderId="0" xfId="0" applyFill="1"/>
    <xf numFmtId="0" fontId="0" fillId="3" borderId="0" xfId="0" applyFill="1"/>
    <xf numFmtId="0" fontId="0" fillId="4" borderId="0" xfId="0" applyFill="1"/>
    <xf numFmtId="0" fontId="0" fillId="0" borderId="4" xfId="0" applyFont="1" applyFill="1" applyBorder="1" applyAlignment="1"/>
    <xf numFmtId="1" fontId="0" fillId="0" borderId="0" xfId="0" applyNumberFormat="1" applyFont="1" applyFill="1" applyBorder="1" applyAlignment="1">
      <alignment horizontal="right"/>
    </xf>
    <xf numFmtId="0" fontId="0" fillId="0" borderId="0" xfId="0" applyFont="1" applyFill="1"/>
    <xf numFmtId="3" fontId="8" fillId="0" borderId="15" xfId="0" applyNumberFormat="1" applyFont="1" applyBorder="1"/>
    <xf numFmtId="3" fontId="8" fillId="0" borderId="0" xfId="0" applyNumberFormat="1" applyFont="1" applyBorder="1"/>
    <xf numFmtId="3" fontId="8" fillId="0" borderId="16" xfId="0" applyNumberFormat="1" applyFont="1" applyBorder="1"/>
    <xf numFmtId="3" fontId="8" fillId="0" borderId="15" xfId="0" applyNumberFormat="1" applyFont="1" applyFill="1" applyBorder="1"/>
    <xf numFmtId="3" fontId="8" fillId="0" borderId="0" xfId="0" applyNumberFormat="1" applyFont="1" applyFill="1" applyBorder="1"/>
    <xf numFmtId="3" fontId="8" fillId="0" borderId="16" xfId="0" applyNumberFormat="1" applyFont="1" applyFill="1" applyBorder="1"/>
    <xf numFmtId="0" fontId="0" fillId="5" borderId="0" xfId="0" applyFont="1" applyFill="1" applyBorder="1" applyAlignment="1"/>
    <xf numFmtId="0" fontId="0" fillId="5" borderId="4" xfId="0" applyFont="1" applyFill="1" applyBorder="1"/>
    <xf numFmtId="0" fontId="0" fillId="5" borderId="0" xfId="0" applyFont="1" applyFill="1" applyBorder="1"/>
    <xf numFmtId="0" fontId="0" fillId="5" borderId="5" xfId="0" applyFont="1" applyFill="1" applyBorder="1" applyAlignment="1">
      <alignment horizontal="right"/>
    </xf>
    <xf numFmtId="3" fontId="8" fillId="5" borderId="0" xfId="0" applyNumberFormat="1" applyFont="1" applyFill="1" applyBorder="1"/>
    <xf numFmtId="0" fontId="0" fillId="5" borderId="0" xfId="0" applyFont="1" applyFill="1" applyBorder="1" applyAlignment="1">
      <alignment horizontal="left"/>
    </xf>
    <xf numFmtId="0" fontId="6" fillId="5" borderId="4" xfId="0" applyFont="1" applyFill="1" applyBorder="1" applyAlignment="1">
      <alignment horizontal="right"/>
    </xf>
    <xf numFmtId="0" fontId="6" fillId="5" borderId="0" xfId="0" applyFont="1" applyFill="1" applyBorder="1" applyAlignment="1">
      <alignment horizontal="right"/>
    </xf>
    <xf numFmtId="0" fontId="6" fillId="5" borderId="5" xfId="0" applyFont="1" applyFill="1" applyBorder="1" applyAlignment="1">
      <alignment horizontal="right"/>
    </xf>
    <xf numFmtId="164" fontId="0" fillId="5" borderId="0" xfId="0" applyNumberFormat="1" applyFont="1" applyFill="1" applyBorder="1"/>
    <xf numFmtId="2" fontId="0" fillId="5" borderId="0" xfId="0" applyNumberFormat="1" applyFont="1" applyFill="1" applyBorder="1"/>
    <xf numFmtId="1" fontId="0" fillId="5" borderId="5" xfId="0" applyNumberFormat="1" applyFont="1" applyFill="1" applyBorder="1" applyAlignment="1">
      <alignment horizontal="right"/>
    </xf>
    <xf numFmtId="0" fontId="0" fillId="5" borderId="6" xfId="0" applyFont="1" applyFill="1" applyBorder="1" applyAlignment="1">
      <alignment horizontal="right"/>
    </xf>
    <xf numFmtId="0" fontId="0" fillId="5" borderId="9" xfId="0" applyFont="1" applyFill="1" applyBorder="1" applyAlignment="1">
      <alignment horizontal="right"/>
    </xf>
    <xf numFmtId="0" fontId="0" fillId="5" borderId="7" xfId="0" applyFont="1" applyFill="1" applyBorder="1" applyAlignment="1">
      <alignment horizontal="right"/>
    </xf>
    <xf numFmtId="0" fontId="0" fillId="0" borderId="1" xfId="0" applyFont="1" applyFill="1" applyBorder="1" applyAlignment="1">
      <alignment wrapText="1"/>
    </xf>
    <xf numFmtId="0" fontId="2" fillId="0" borderId="1" xfId="0" applyFont="1" applyFill="1" applyBorder="1"/>
    <xf numFmtId="0" fontId="0" fillId="0" borderId="1" xfId="0" applyFont="1" applyFill="1" applyBorder="1" applyAlignment="1">
      <alignment vertical="center" wrapText="1"/>
    </xf>
    <xf numFmtId="0" fontId="2" fillId="0" borderId="1" xfId="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3" fontId="0" fillId="0" borderId="0" xfId="0" applyNumberFormat="1" applyFont="1" applyBorder="1"/>
    <xf numFmtId="1" fontId="0" fillId="0" borderId="8" xfId="0" applyNumberFormat="1" applyFont="1" applyBorder="1"/>
    <xf numFmtId="0" fontId="0" fillId="0" borderId="4" xfId="0" applyFont="1" applyFill="1" applyBorder="1" applyAlignment="1">
      <alignment vertical="center"/>
    </xf>
    <xf numFmtId="0" fontId="0" fillId="0" borderId="5" xfId="0" applyFont="1" applyFill="1" applyBorder="1"/>
    <xf numFmtId="0" fontId="0" fillId="0" borderId="4" xfId="0" quotePrefix="1" applyNumberFormat="1" applyFont="1" applyFill="1" applyBorder="1" applyAlignment="1">
      <alignment vertical="center"/>
    </xf>
    <xf numFmtId="0" fontId="2" fillId="0" borderId="4" xfId="0" applyFont="1" applyFill="1" applyBorder="1" applyAlignment="1"/>
    <xf numFmtId="0" fontId="2" fillId="0" borderId="4" xfId="0" applyFont="1" applyFill="1" applyBorder="1" applyAlignment="1">
      <alignment horizontal="left" vertical="center"/>
    </xf>
    <xf numFmtId="0" fontId="2" fillId="0" borderId="4" xfId="1" applyFont="1" applyFill="1" applyBorder="1" applyAlignment="1" applyProtection="1">
      <alignment horizontal="left" vertical="center"/>
    </xf>
    <xf numFmtId="0" fontId="0" fillId="0" borderId="6" xfId="0" applyFont="1" applyFill="1" applyBorder="1" applyAlignment="1"/>
    <xf numFmtId="0" fontId="0" fillId="0" borderId="0" xfId="0" applyFont="1" applyFill="1" applyAlignment="1"/>
    <xf numFmtId="0" fontId="2" fillId="5" borderId="0" xfId="0" applyFont="1" applyFill="1" applyBorder="1" applyAlignment="1"/>
    <xf numFmtId="0" fontId="2" fillId="5" borderId="0" xfId="0" applyFont="1" applyFill="1" applyBorder="1"/>
    <xf numFmtId="0" fontId="9" fillId="4" borderId="10" xfId="0" applyFont="1" applyFill="1" applyBorder="1"/>
    <xf numFmtId="164" fontId="10" fillId="4" borderId="11" xfId="0" applyNumberFormat="1" applyFont="1" applyFill="1" applyBorder="1" applyAlignment="1"/>
    <xf numFmtId="0" fontId="0" fillId="0" borderId="12" xfId="0" applyFont="1" applyBorder="1"/>
    <xf numFmtId="0" fontId="0" fillId="0" borderId="13" xfId="0" applyFont="1" applyBorder="1"/>
    <xf numFmtId="1" fontId="0" fillId="0" borderId="2" xfId="0" applyNumberFormat="1" applyFont="1" applyBorder="1"/>
    <xf numFmtId="1" fontId="0" fillId="0" borderId="3" xfId="0" applyNumberFormat="1" applyFont="1" applyBorder="1"/>
    <xf numFmtId="0" fontId="0" fillId="0" borderId="2" xfId="0" applyFont="1" applyFill="1" applyBorder="1" applyAlignment="1"/>
    <xf numFmtId="3" fontId="8" fillId="0" borderId="15" xfId="2" applyNumberFormat="1" applyFont="1" applyFill="1" applyBorder="1"/>
    <xf numFmtId="3" fontId="8" fillId="0" borderId="0" xfId="2" applyNumberFormat="1" applyFont="1" applyFill="1" applyBorder="1"/>
    <xf numFmtId="3" fontId="8" fillId="0" borderId="16" xfId="2" applyNumberFormat="1" applyFont="1" applyFill="1" applyBorder="1"/>
    <xf numFmtId="1" fontId="0" fillId="0" borderId="4" xfId="0" applyNumberFormat="1" applyFont="1" applyFill="1" applyBorder="1" applyAlignment="1">
      <alignment horizontal="right"/>
    </xf>
    <xf numFmtId="1" fontId="0" fillId="0" borderId="0" xfId="0" applyNumberFormat="1"/>
    <xf numFmtId="3" fontId="15" fillId="0" borderId="0" xfId="5" applyNumberFormat="1" applyFont="1" applyBorder="1" applyAlignment="1">
      <alignment horizontal="center"/>
    </xf>
    <xf numFmtId="164" fontId="0" fillId="0" borderId="0" xfId="0" applyNumberFormat="1" applyFont="1" applyFill="1" applyBorder="1" applyAlignment="1"/>
    <xf numFmtId="164" fontId="0" fillId="0" borderId="0" xfId="0" applyNumberFormat="1"/>
    <xf numFmtId="0" fontId="0" fillId="0" borderId="1" xfId="0" applyFont="1" applyFill="1" applyBorder="1" applyAlignment="1">
      <alignment horizontal="left" wrapText="1"/>
    </xf>
    <xf numFmtId="1" fontId="0" fillId="0" borderId="2" xfId="0" applyNumberFormat="1" applyFont="1" applyBorder="1" applyAlignment="1"/>
    <xf numFmtId="0" fontId="0" fillId="0" borderId="8" xfId="0" applyBorder="1" applyAlignment="1"/>
    <xf numFmtId="0" fontId="0" fillId="0" borderId="3" xfId="0" applyBorder="1" applyAlignment="1"/>
    <xf numFmtId="0" fontId="9" fillId="4" borderId="2" xfId="0" applyFont="1" applyFill="1" applyBorder="1" applyAlignment="1"/>
    <xf numFmtId="0" fontId="2" fillId="0" borderId="8" xfId="0" applyFont="1" applyBorder="1" applyAlignment="1"/>
    <xf numFmtId="0" fontId="2" fillId="0" borderId="3" xfId="0" applyFont="1" applyBorder="1" applyAlignment="1"/>
    <xf numFmtId="0" fontId="9" fillId="4" borderId="6" xfId="0" applyFont="1" applyFill="1" applyBorder="1" applyAlignment="1"/>
    <xf numFmtId="0" fontId="2" fillId="0" borderId="9" xfId="0" applyFont="1" applyBorder="1" applyAlignment="1"/>
    <xf numFmtId="0" fontId="2" fillId="0" borderId="7" xfId="0" applyFont="1" applyBorder="1" applyAlignment="1"/>
    <xf numFmtId="164" fontId="0" fillId="0" borderId="10" xfId="0" applyNumberFormat="1" applyFont="1" applyBorder="1" applyAlignment="1">
      <alignment wrapText="1"/>
    </xf>
    <xf numFmtId="0" fontId="0" fillId="0" borderId="1" xfId="0" applyBorder="1" applyAlignment="1">
      <alignment wrapText="1"/>
    </xf>
    <xf numFmtId="0" fontId="0" fillId="0" borderId="10" xfId="0" applyFont="1" applyFill="1" applyBorder="1" applyAlignment="1">
      <alignment vertical="top"/>
    </xf>
    <xf numFmtId="0" fontId="0" fillId="0" borderId="11" xfId="0" applyBorder="1" applyAlignment="1">
      <alignment vertical="top"/>
    </xf>
    <xf numFmtId="0" fontId="0" fillId="0" borderId="10" xfId="0" applyFont="1" applyBorder="1" applyAlignment="1">
      <alignment vertical="top"/>
    </xf>
    <xf numFmtId="0" fontId="0" fillId="0" borderId="1" xfId="0" applyBorder="1" applyAlignment="1">
      <alignment vertical="top"/>
    </xf>
    <xf numFmtId="0" fontId="0" fillId="0" borderId="2" xfId="0" applyFont="1" applyBorder="1" applyAlignment="1"/>
    <xf numFmtId="0" fontId="0" fillId="0" borderId="11" xfId="0" applyFont="1" applyFill="1" applyBorder="1" applyAlignment="1">
      <alignment vertical="top"/>
    </xf>
    <xf numFmtId="0" fontId="0" fillId="0" borderId="10" xfId="0" applyFont="1" applyFill="1" applyBorder="1" applyAlignment="1">
      <alignment wrapText="1"/>
    </xf>
    <xf numFmtId="164" fontId="0" fillId="0" borderId="2" xfId="0" applyNumberFormat="1" applyFont="1" applyFill="1" applyBorder="1"/>
    <xf numFmtId="0" fontId="0" fillId="0" borderId="3" xfId="0" applyFont="1" applyFill="1" applyBorder="1"/>
    <xf numFmtId="164" fontId="0" fillId="0" borderId="2" xfId="0" applyNumberFormat="1" applyFont="1" applyFill="1" applyBorder="1" applyAlignment="1">
      <alignment horizontal="left"/>
    </xf>
    <xf numFmtId="164" fontId="0" fillId="0" borderId="8" xfId="0" applyNumberFormat="1" applyFont="1" applyFill="1" applyBorder="1" applyAlignment="1">
      <alignment horizontal="left"/>
    </xf>
    <xf numFmtId="1" fontId="0" fillId="0" borderId="2" xfId="0" applyNumberFormat="1" applyFont="1" applyFill="1" applyBorder="1" applyAlignment="1">
      <alignment horizontal="right"/>
    </xf>
    <xf numFmtId="1" fontId="0" fillId="0" borderId="8" xfId="0" applyNumberFormat="1" applyFont="1" applyFill="1" applyBorder="1" applyAlignment="1">
      <alignment horizontal="right"/>
    </xf>
    <xf numFmtId="1" fontId="0" fillId="0" borderId="3" xfId="0" applyNumberFormat="1" applyFont="1" applyFill="1" applyBorder="1" applyAlignment="1">
      <alignment horizontal="right"/>
    </xf>
    <xf numFmtId="164" fontId="0" fillId="0" borderId="4" xfId="0" applyNumberFormat="1" applyFont="1" applyFill="1" applyBorder="1" applyAlignment="1">
      <alignment horizontal="left"/>
    </xf>
    <xf numFmtId="164" fontId="0" fillId="0" borderId="0" xfId="0" applyNumberFormat="1" applyFont="1" applyFill="1" applyBorder="1" applyAlignment="1">
      <alignment horizontal="left"/>
    </xf>
    <xf numFmtId="1" fontId="0" fillId="0" borderId="6" xfId="0" applyNumberFormat="1" applyFont="1" applyFill="1" applyBorder="1" applyAlignment="1">
      <alignment horizontal="right"/>
    </xf>
    <xf numFmtId="1" fontId="0" fillId="0" borderId="9" xfId="0" applyNumberFormat="1" applyFont="1" applyFill="1" applyBorder="1" applyAlignment="1">
      <alignment horizontal="right"/>
    </xf>
    <xf numFmtId="1" fontId="0" fillId="0" borderId="7" xfId="0" applyNumberFormat="1" applyFont="1" applyFill="1" applyBorder="1" applyAlignment="1">
      <alignment horizontal="right"/>
    </xf>
    <xf numFmtId="164" fontId="0" fillId="0" borderId="0" xfId="0" applyNumberFormat="1" applyFont="1" applyFill="1" applyAlignment="1">
      <alignment horizontal="left" indent="2"/>
    </xf>
    <xf numFmtId="164" fontId="0" fillId="0" borderId="0" xfId="0" applyNumberFormat="1" applyFont="1" applyFill="1"/>
    <xf numFmtId="0" fontId="0" fillId="0" borderId="11" xfId="0" applyFont="1" applyFill="1" applyBorder="1" applyAlignment="1">
      <alignment vertical="center" wrapText="1"/>
    </xf>
    <xf numFmtId="164" fontId="0" fillId="0" borderId="6" xfId="0" applyNumberFormat="1" applyFont="1" applyFill="1" applyBorder="1"/>
    <xf numFmtId="0" fontId="0" fillId="0" borderId="7" xfId="0" applyFont="1" applyFill="1" applyBorder="1"/>
    <xf numFmtId="164" fontId="0" fillId="0" borderId="6" xfId="0" applyNumberFormat="1" applyFont="1" applyFill="1" applyBorder="1" applyAlignment="1">
      <alignment horizontal="left"/>
    </xf>
    <xf numFmtId="164" fontId="0" fillId="0" borderId="9" xfId="0" applyNumberFormat="1" applyFont="1" applyFill="1" applyBorder="1" applyAlignment="1">
      <alignment horizontal="left"/>
    </xf>
    <xf numFmtId="0" fontId="7" fillId="0" borderId="0" xfId="0" applyFont="1" applyFill="1" applyBorder="1" applyAlignment="1"/>
    <xf numFmtId="0" fontId="5" fillId="0" borderId="0" xfId="0" applyFont="1" applyFill="1" applyBorder="1" applyAlignment="1"/>
    <xf numFmtId="0" fontId="7" fillId="0" borderId="0" xfId="0" applyFont="1" applyFill="1" applyBorder="1"/>
    <xf numFmtId="0" fontId="0" fillId="0" borderId="2" xfId="0" applyFont="1" applyFill="1" applyBorder="1"/>
    <xf numFmtId="0" fontId="0" fillId="0" borderId="8" xfId="0" applyFont="1" applyFill="1" applyBorder="1"/>
    <xf numFmtId="0" fontId="0" fillId="0" borderId="3" xfId="0" applyFont="1" applyFill="1" applyBorder="1" applyAlignment="1">
      <alignment horizontal="right"/>
    </xf>
    <xf numFmtId="164" fontId="0" fillId="0" borderId="0" xfId="0" applyNumberFormat="1" applyFont="1" applyFill="1" applyBorder="1"/>
    <xf numFmtId="0" fontId="0" fillId="0" borderId="4" xfId="0" applyFont="1" applyFill="1" applyBorder="1"/>
    <xf numFmtId="0" fontId="0" fillId="0" borderId="5" xfId="0" applyFont="1" applyFill="1" applyBorder="1" applyAlignment="1">
      <alignment horizontal="right"/>
    </xf>
    <xf numFmtId="0" fontId="0" fillId="0" borderId="14" xfId="0" applyFont="1" applyFill="1" applyBorder="1"/>
    <xf numFmtId="0" fontId="0" fillId="0" borderId="17" xfId="0" applyFont="1" applyFill="1" applyBorder="1"/>
    <xf numFmtId="0" fontId="0" fillId="0" borderId="18" xfId="0" applyFont="1" applyFill="1" applyBorder="1" applyAlignment="1">
      <alignment horizontal="right"/>
    </xf>
  </cellXfs>
  <cellStyles count="115">
    <cellStyle name="Comma 2" xfId="6"/>
    <cellStyle name="Comma 3" xfId="5"/>
    <cellStyle name="Hyperlink" xfId="1" builtinId="8"/>
    <cellStyle name="Hyperlink 2" xfId="7"/>
    <cellStyle name="Normal" xfId="0" builtinId="0"/>
    <cellStyle name="Normal 10 2" xfId="8"/>
    <cellStyle name="Normal 10 3" xfId="9"/>
    <cellStyle name="Normal 10 4" xfId="10"/>
    <cellStyle name="Normal 10 5" xfId="11"/>
    <cellStyle name="Normal 10 6" xfId="12"/>
    <cellStyle name="Normal 10 7" xfId="13"/>
    <cellStyle name="Normal 11 2" xfId="14"/>
    <cellStyle name="Normal 11 3" xfId="15"/>
    <cellStyle name="Normal 11 4" xfId="16"/>
    <cellStyle name="Normal 2" xfId="3"/>
    <cellStyle name="Normal 2 10" xfId="17"/>
    <cellStyle name="Normal 2 11" xfId="18"/>
    <cellStyle name="Normal 2 2" xfId="19"/>
    <cellStyle name="Normal 2 2 2" xfId="20"/>
    <cellStyle name="Normal 2 2 2 2" xfId="21"/>
    <cellStyle name="Normal 2 2 2 2 2" xfId="22"/>
    <cellStyle name="Normal 2 2 2 2 3" xfId="23"/>
    <cellStyle name="Normal 2 2 2 2 4" xfId="24"/>
    <cellStyle name="Normal 2 2 2 3" xfId="25"/>
    <cellStyle name="Normal 2 2 2 4" xfId="26"/>
    <cellStyle name="Normal 2 2 3" xfId="27"/>
    <cellStyle name="Normal 2 2 4" xfId="28"/>
    <cellStyle name="Normal 2 2 5" xfId="29"/>
    <cellStyle name="Normal 2 2 6" xfId="30"/>
    <cellStyle name="Normal 2 2 7" xfId="31"/>
    <cellStyle name="Normal 2 3" xfId="32"/>
    <cellStyle name="Normal 2 4" xfId="33"/>
    <cellStyle name="Normal 2 5" xfId="34"/>
    <cellStyle name="Normal 2 6" xfId="35"/>
    <cellStyle name="Normal 2 7" xfId="36"/>
    <cellStyle name="Normal 2 7 2" xfId="37"/>
    <cellStyle name="Normal 2 7 2 2" xfId="38"/>
    <cellStyle name="Normal 2 7 2 3" xfId="39"/>
    <cellStyle name="Normal 2 7 2 4" xfId="40"/>
    <cellStyle name="Normal 2 7 3" xfId="41"/>
    <cellStyle name="Normal 2 7 4" xfId="42"/>
    <cellStyle name="Normal 2 8" xfId="43"/>
    <cellStyle name="Normal 2 9" xfId="44"/>
    <cellStyle name="Normal 3" xfId="2"/>
    <cellStyle name="Normal 3 2" xfId="46"/>
    <cellStyle name="Normal 3 3" xfId="47"/>
    <cellStyle name="Normal 3 4" xfId="48"/>
    <cellStyle name="Normal 3 5" xfId="49"/>
    <cellStyle name="Normal 3 6" xfId="50"/>
    <cellStyle name="Normal 3 7" xfId="51"/>
    <cellStyle name="Normal 3 8" xfId="45"/>
    <cellStyle name="Normal 4" xfId="52"/>
    <cellStyle name="Normal 4 10" xfId="53"/>
    <cellStyle name="Normal 4 11" xfId="54"/>
    <cellStyle name="Normal 4 2" xfId="55"/>
    <cellStyle name="Normal 4 2 2" xfId="56"/>
    <cellStyle name="Normal 4 2 2 2" xfId="57"/>
    <cellStyle name="Normal 4 2 2 2 2" xfId="58"/>
    <cellStyle name="Normal 4 2 2 2 3" xfId="59"/>
    <cellStyle name="Normal 4 2 2 2 4" xfId="60"/>
    <cellStyle name="Normal 4 2 2 3" xfId="61"/>
    <cellStyle name="Normal 4 2 2 4" xfId="62"/>
    <cellStyle name="Normal 4 2 3" xfId="63"/>
    <cellStyle name="Normal 4 2 4" xfId="64"/>
    <cellStyle name="Normal 4 2 5" xfId="65"/>
    <cellStyle name="Normal 4 2 6" xfId="66"/>
    <cellStyle name="Normal 4 2 7" xfId="67"/>
    <cellStyle name="Normal 4 3" xfId="68"/>
    <cellStyle name="Normal 4 4" xfId="69"/>
    <cellStyle name="Normal 4 5" xfId="70"/>
    <cellStyle name="Normal 4 6" xfId="71"/>
    <cellStyle name="Normal 4 7" xfId="72"/>
    <cellStyle name="Normal 4 7 2" xfId="73"/>
    <cellStyle name="Normal 4 7 2 2" xfId="74"/>
    <cellStyle name="Normal 4 7 2 3" xfId="75"/>
    <cellStyle name="Normal 4 7 2 4" xfId="76"/>
    <cellStyle name="Normal 4 7 3" xfId="77"/>
    <cellStyle name="Normal 4 7 4" xfId="78"/>
    <cellStyle name="Normal 4 8" xfId="79"/>
    <cellStyle name="Normal 4 9" xfId="80"/>
    <cellStyle name="Normal 5" xfId="81"/>
    <cellStyle name="Normal 5 2" xfId="82"/>
    <cellStyle name="Normal 5 3" xfId="83"/>
    <cellStyle name="Normal 5 4" xfId="84"/>
    <cellStyle name="Normal 5 5" xfId="85"/>
    <cellStyle name="Normal 5 6" xfId="86"/>
    <cellStyle name="Normal 5 7" xfId="87"/>
    <cellStyle name="Normal 55" xfId="88"/>
    <cellStyle name="Normal 56" xfId="89"/>
    <cellStyle name="Normal 6" xfId="90"/>
    <cellStyle name="Normal 6 2" xfId="91"/>
    <cellStyle name="Normal 6 3" xfId="92"/>
    <cellStyle name="Normal 6 4" xfId="93"/>
    <cellStyle name="Normal 6 5" xfId="94"/>
    <cellStyle name="Normal 6 6" xfId="95"/>
    <cellStyle name="Normal 6 7" xfId="96"/>
    <cellStyle name="Normal 7" xfId="4"/>
    <cellStyle name="Normal 7 2" xfId="97"/>
    <cellStyle name="Normal 7 3" xfId="98"/>
    <cellStyle name="Normal 7 4" xfId="99"/>
    <cellStyle name="Normal 7 5" xfId="100"/>
    <cellStyle name="Normal 7 6" xfId="101"/>
    <cellStyle name="Normal 7 7" xfId="102"/>
    <cellStyle name="Normal 8 2" xfId="103"/>
    <cellStyle name="Normal 8 3" xfId="104"/>
    <cellStyle name="Normal 8 4" xfId="105"/>
    <cellStyle name="Normal 8 5" xfId="106"/>
    <cellStyle name="Normal 8 6" xfId="107"/>
    <cellStyle name="Normal 8 7" xfId="108"/>
    <cellStyle name="Normal 9 2" xfId="109"/>
    <cellStyle name="Normal 9 3" xfId="110"/>
    <cellStyle name="Normal 9 4" xfId="111"/>
    <cellStyle name="Normal 9 5" xfId="112"/>
    <cellStyle name="Normal 9 6" xfId="113"/>
    <cellStyle name="Normal 9 7" xfId="11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ED9"/>
      <color rgb="FFCCCCFF"/>
      <color rgb="FFFFFFCC"/>
      <color rgb="FFFDDBF3"/>
      <color rgb="FFFEEDE2"/>
      <color rgb="FFE1E1FF"/>
      <color rgb="FFDDFFFF"/>
      <color rgb="FFFFFFAF"/>
      <color rgb="FFCCFFFF"/>
      <color rgb="FFC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389616</xdr:colOff>
      <xdr:row>3</xdr:row>
      <xdr:rowOff>143315</xdr:rowOff>
    </xdr:to>
    <xdr:pic>
      <xdr:nvPicPr>
        <xdr:cNvPr id="2" name="Picture 1"/>
        <xdr:cNvPicPr>
          <a:picLocks noChangeAspect="1"/>
        </xdr:cNvPicPr>
      </xdr:nvPicPr>
      <xdr:blipFill>
        <a:blip xmlns:r="http://schemas.openxmlformats.org/officeDocument/2006/relationships" r:embed="rId1"/>
        <a:stretch>
          <a:fillRect/>
        </a:stretch>
      </xdr:blipFill>
      <xdr:spPr>
        <a:xfrm>
          <a:off x="47625" y="38100"/>
          <a:ext cx="269466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161925</xdr:colOff>
      <xdr:row>3</xdr:row>
      <xdr:rowOff>0</xdr:rowOff>
    </xdr:from>
    <xdr:to>
      <xdr:col>29</xdr:col>
      <xdr:colOff>38100</xdr:colOff>
      <xdr:row>29</xdr:row>
      <xdr:rowOff>38100</xdr:rowOff>
    </xdr:to>
    <xdr:sp macro="" textlink="">
      <xdr:nvSpPr>
        <xdr:cNvPr id="2" name="TextBox 1"/>
        <xdr:cNvSpPr txBox="1"/>
      </xdr:nvSpPr>
      <xdr:spPr>
        <a:xfrm>
          <a:off x="10982325" y="647700"/>
          <a:ext cx="10239375"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effectLst/>
              <a:latin typeface="+mn-lt"/>
              <a:ea typeface="+mn-ea"/>
              <a:cs typeface="+mn-cs"/>
            </a:rPr>
            <a:t>The default definition of an urban area for the purposes of the</a:t>
          </a:r>
          <a:r>
            <a:rPr lang="en-NZ" sz="1100" baseline="0">
              <a:solidFill>
                <a:schemeClr val="dk1"/>
              </a:solidFill>
              <a:effectLst/>
              <a:latin typeface="+mn-lt"/>
              <a:ea typeface="+mn-ea"/>
              <a:cs typeface="+mn-cs"/>
            </a:rPr>
            <a:t> example groupings described in Appendix B</a:t>
          </a:r>
          <a:r>
            <a:rPr lang="en-NZ" sz="1100">
              <a:solidFill>
                <a:schemeClr val="dk1"/>
              </a:solidFill>
              <a:effectLst/>
              <a:latin typeface="+mn-lt"/>
              <a:ea typeface="+mn-ea"/>
              <a:cs typeface="+mn-cs"/>
            </a:rPr>
            <a:t> is the total area described by the same Urban Centre Descriptor in the census. The default assumptions regarding the population represented by that each site are:</a:t>
          </a:r>
        </a:p>
        <a:p>
          <a:pPr lvl="0"/>
          <a:r>
            <a:rPr lang="en-NZ" sz="1100">
              <a:solidFill>
                <a:schemeClr val="dk1"/>
              </a:solidFill>
              <a:effectLst/>
              <a:latin typeface="+mn-lt"/>
              <a:ea typeface="+mn-ea"/>
              <a:cs typeface="+mn-cs"/>
            </a:rPr>
            <a:t>	For urban areas with single sites, that site represents the entire urban area, consistent with the 2012 HAPINZ assessment, </a:t>
          </a:r>
        </a:p>
        <a:p>
          <a:pPr lvl="0"/>
          <a:r>
            <a:rPr lang="en-NZ" sz="1100">
              <a:solidFill>
                <a:schemeClr val="dk1"/>
              </a:solidFill>
              <a:effectLst/>
              <a:latin typeface="+mn-lt"/>
              <a:ea typeface="+mn-ea"/>
              <a:cs typeface="+mn-cs"/>
            </a:rPr>
            <a:t>	For urban areas with multiple sites, the area is represented by the mean of all available data. This is different to the default approach taken in the 2012 HAPINZ		 assessment. </a:t>
          </a:r>
        </a:p>
        <a:p>
          <a:r>
            <a:rPr lang="en-NZ" sz="1100">
              <a:solidFill>
                <a:schemeClr val="dk1"/>
              </a:solidFill>
              <a:effectLst/>
              <a:latin typeface="+mn-lt"/>
              <a:ea typeface="+mn-ea"/>
              <a:cs typeface="+mn-cs"/>
            </a:rPr>
            <a:t>Exceptions to these rules have been found necessary to meet MfE’s ‘relevance’ criterion and are listed below:</a:t>
          </a:r>
        </a:p>
        <a:p>
          <a:pPr lvl="0"/>
          <a:r>
            <a:rPr lang="en-NZ" sz="1100">
              <a:solidFill>
                <a:schemeClr val="dk1"/>
              </a:solidFill>
              <a:effectLst/>
              <a:latin typeface="+mn-lt"/>
              <a:ea typeface="+mn-ea"/>
              <a:cs typeface="+mn-cs"/>
            </a:rPr>
            <a:t>Only CAUs allocated to the UCDs Northern Auckland Zone, Western Auckland Zone, Southern Auckland Zone or Central Auckland Zone are included in the Auckland groups. 	Other areas in the Auckland Region (e.g. Helensville) are allocated to Small Towns (Pukekohe crosses the threshold to Medium Town in 2013).</a:t>
          </a:r>
        </a:p>
        <a:p>
          <a:pPr lvl="0"/>
          <a:r>
            <a:rPr lang="en-NZ" sz="1100">
              <a:solidFill>
                <a:schemeClr val="dk1"/>
              </a:solidFill>
              <a:effectLst/>
              <a:latin typeface="+mn-lt"/>
              <a:ea typeface="+mn-ea"/>
              <a:cs typeface="+mn-cs"/>
            </a:rPr>
            <a:t>In the census Kaiapoi is part of Christchurch UCD. For the purposes of this assessment we consider that the PM</a:t>
          </a:r>
          <a:r>
            <a:rPr lang="en-NZ" sz="1100" baseline="-25000">
              <a:solidFill>
                <a:schemeClr val="dk1"/>
              </a:solidFill>
              <a:effectLst/>
              <a:latin typeface="+mn-lt"/>
              <a:ea typeface="+mn-ea"/>
              <a:cs typeface="+mn-cs"/>
            </a:rPr>
            <a:t>10 </a:t>
          </a:r>
          <a:r>
            <a:rPr lang="en-NZ" sz="1100">
              <a:solidFill>
                <a:schemeClr val="dk1"/>
              </a:solidFill>
              <a:effectLst/>
              <a:latin typeface="+mn-lt"/>
              <a:ea typeface="+mn-ea"/>
              <a:cs typeface="+mn-cs"/>
            </a:rPr>
            <a:t>monitoring site in Kaiapoi represents Kaiapoi alone and that this 	is a separate Small Town. The represented population of Christchurch is reduced accordingly to reflect this (e.g. see Table 5-2). This is commented on in 	Workbook D, sheet: town populations, column F.</a:t>
          </a:r>
        </a:p>
        <a:p>
          <a:pPr lvl="0"/>
          <a:r>
            <a:rPr lang="en-NZ" sz="1100">
              <a:solidFill>
                <a:schemeClr val="dk1"/>
              </a:solidFill>
              <a:effectLst/>
              <a:latin typeface="+mn-lt"/>
              <a:ea typeface="+mn-ea"/>
              <a:cs typeface="+mn-cs"/>
            </a:rPr>
            <a:t>Similarly to Kaiapoi, we consider the PM</a:t>
          </a:r>
          <a:r>
            <a:rPr lang="en-NZ" sz="1100" baseline="-25000">
              <a:solidFill>
                <a:schemeClr val="dk1"/>
              </a:solidFill>
              <a:effectLst/>
              <a:latin typeface="+mn-lt"/>
              <a:ea typeface="+mn-ea"/>
              <a:cs typeface="+mn-cs"/>
            </a:rPr>
            <a:t>10</a:t>
          </a:r>
          <a:r>
            <a:rPr lang="en-NZ" sz="1100">
              <a:solidFill>
                <a:schemeClr val="dk1"/>
              </a:solidFill>
              <a:effectLst/>
              <a:latin typeface="+mn-lt"/>
              <a:ea typeface="+mn-ea"/>
              <a:cs typeface="+mn-cs"/>
            </a:rPr>
            <a:t> monitoring site in Ngaruawahia represents that town alone and it is allocated to Small Towns, despite being allocated to Hamilton in 	the Census UCD. The represented population of Hamilton is accordingly adjusted. This is commented on in Workbook D, sheet: town populations, column F.</a:t>
          </a:r>
        </a:p>
        <a:p>
          <a:pPr lvl="0"/>
          <a:r>
            <a:rPr lang="en-NZ" sz="1100">
              <a:solidFill>
                <a:schemeClr val="dk1"/>
              </a:solidFill>
              <a:effectLst/>
              <a:latin typeface="+mn-lt"/>
              <a:ea typeface="+mn-ea"/>
              <a:cs typeface="+mn-cs"/>
            </a:rPr>
            <a:t>Similarly for Mosgiel, we consider the PM</a:t>
          </a:r>
          <a:r>
            <a:rPr lang="en-NZ" sz="1100" baseline="-25000">
              <a:solidFill>
                <a:schemeClr val="dk1"/>
              </a:solidFill>
              <a:effectLst/>
              <a:latin typeface="+mn-lt"/>
              <a:ea typeface="+mn-ea"/>
              <a:cs typeface="+mn-cs"/>
            </a:rPr>
            <a:t>10</a:t>
          </a:r>
          <a:r>
            <a:rPr lang="en-NZ" sz="1100">
              <a:solidFill>
                <a:schemeClr val="dk1"/>
              </a:solidFill>
              <a:effectLst/>
              <a:latin typeface="+mn-lt"/>
              <a:ea typeface="+mn-ea"/>
              <a:cs typeface="+mn-cs"/>
            </a:rPr>
            <a:t> monitoring site in Mosgiel represents that town alone and it is allocated to Small Towns, despite being allocated to Dunedin in the 	Census UCD. The represented population of Dunedin is accordingly adjusted. This is commented on in Workbook D, sheet: town populations, column F.</a:t>
          </a:r>
        </a:p>
        <a:p>
          <a:pPr lvl="0"/>
          <a:r>
            <a:rPr lang="en-NZ" sz="1100">
              <a:solidFill>
                <a:schemeClr val="dk1"/>
              </a:solidFill>
              <a:effectLst/>
              <a:latin typeface="+mn-lt"/>
              <a:ea typeface="+mn-ea"/>
              <a:cs typeface="+mn-cs"/>
            </a:rPr>
            <a:t>The City of Nelson is split into three airsheds for the purposes of air quality management. We take the view that air quality in these airsheds behaves independently and thus 	allocate represented populations accordingly (i.e. the Airshed A monitor represents the population of Airshed A only). However, for interpretability Nelson as a 	whole is allocated to Medium Towns.</a:t>
          </a:r>
        </a:p>
        <a:p>
          <a:pPr lvl="0"/>
          <a:r>
            <a:rPr lang="en-NZ" sz="1100">
              <a:solidFill>
                <a:schemeClr val="dk1"/>
              </a:solidFill>
              <a:effectLst/>
              <a:latin typeface="+mn-lt"/>
              <a:ea typeface="+mn-ea"/>
              <a:cs typeface="+mn-cs"/>
            </a:rPr>
            <a:t>We exclude Wairarapa from Greater Wellington because, in terms of air quality, this district is effectively a collection of Small Towns. This is commented on in Workbook D, 	sheet: town populations, column F.</a:t>
          </a:r>
        </a:p>
        <a:p>
          <a:pPr lvl="0"/>
          <a:r>
            <a:rPr lang="en-NZ" sz="1100">
              <a:solidFill>
                <a:schemeClr val="dk1"/>
              </a:solidFill>
              <a:effectLst/>
              <a:latin typeface="+mn-lt"/>
              <a:ea typeface="+mn-ea"/>
              <a:cs typeface="+mn-cs"/>
            </a:rPr>
            <a:t>Lower Hutt has two long-term monitoring sites, one in the main part of town, the other in the distinctly separate town of Wainuiomata. We therefore consider each monitoring 	site to represent two distinct populations. </a:t>
          </a:r>
        </a:p>
        <a:p>
          <a:pPr lvl="0"/>
          <a:r>
            <a:rPr lang="en-NZ" sz="1100">
              <a:solidFill>
                <a:schemeClr val="dk1"/>
              </a:solidFill>
              <a:effectLst/>
              <a:latin typeface="+mn-lt"/>
              <a:ea typeface="+mn-ea"/>
              <a:cs typeface="+mn-cs"/>
            </a:rPr>
            <a:t>In the census two villages with PM</a:t>
          </a:r>
          <a:r>
            <a:rPr lang="en-NZ" sz="1100" baseline="-25000">
              <a:solidFill>
                <a:schemeClr val="dk1"/>
              </a:solidFill>
              <a:effectLst/>
              <a:latin typeface="+mn-lt"/>
              <a:ea typeface="+mn-ea"/>
              <a:cs typeface="+mn-cs"/>
            </a:rPr>
            <a:t>10</a:t>
          </a:r>
          <a:r>
            <a:rPr lang="en-NZ" sz="1100">
              <a:solidFill>
                <a:schemeClr val="dk1"/>
              </a:solidFill>
              <a:effectLst/>
              <a:latin typeface="+mn-lt"/>
              <a:ea typeface="+mn-ea"/>
              <a:cs typeface="+mn-cs"/>
            </a:rPr>
            <a:t> data (and three more with historic data) are allocated to the UCD “Rural Centre”. These are the Otago villages of Clyde, Ranfurly, Lawrence 	and Naseby and Wallacetown in Southland. The available data reveals PM</a:t>
          </a:r>
          <a:r>
            <a:rPr lang="en-NZ" sz="1100" baseline="-25000">
              <a:solidFill>
                <a:schemeClr val="dk1"/>
              </a:solidFill>
              <a:effectLst/>
              <a:latin typeface="+mn-lt"/>
              <a:ea typeface="+mn-ea"/>
              <a:cs typeface="+mn-cs"/>
            </a:rPr>
            <a:t>10</a:t>
          </a:r>
          <a:r>
            <a:rPr lang="en-NZ" sz="1100">
              <a:solidFill>
                <a:schemeClr val="dk1"/>
              </a:solidFill>
              <a:effectLst/>
              <a:latin typeface="+mn-lt"/>
              <a:ea typeface="+mn-ea"/>
              <a:cs typeface="+mn-cs"/>
            </a:rPr>
            <a:t> concentrations substantially higher than likely background levels and we consider 	these sites representative of local ‘urban’ emissions and hence re-allocated these towns and PM</a:t>
          </a:r>
          <a:r>
            <a:rPr lang="en-NZ" sz="1100" baseline="-25000">
              <a:solidFill>
                <a:schemeClr val="dk1"/>
              </a:solidFill>
              <a:effectLst/>
              <a:latin typeface="+mn-lt"/>
              <a:ea typeface="+mn-ea"/>
              <a:cs typeface="+mn-cs"/>
            </a:rPr>
            <a:t>10</a:t>
          </a:r>
          <a:r>
            <a:rPr lang="en-NZ" sz="1100">
              <a:solidFill>
                <a:schemeClr val="dk1"/>
              </a:solidFill>
              <a:effectLst/>
              <a:latin typeface="+mn-lt"/>
              <a:ea typeface="+mn-ea"/>
              <a:cs typeface="+mn-cs"/>
            </a:rPr>
            <a:t> sites to the Small Towns group.</a:t>
          </a:r>
        </a:p>
        <a:p>
          <a:r>
            <a:rPr lang="en-NZ" sz="1100"/>
            <a:t>Towns currently</a:t>
          </a:r>
          <a:r>
            <a:rPr lang="en-NZ" sz="1100" baseline="0"/>
            <a:t> </a:t>
          </a:r>
          <a:r>
            <a:rPr lang="en-NZ" sz="1100"/>
            <a:t>greyed out do not currently have any monitoring data and so are not used in this report. They are kept in place for future use if/when monitoring data becomes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mfe.govt.nz/environmental-reporting/air/air-quality/pm10/nes/waikato/putaruru.html" TargetMode="External"/><Relationship Id="rId7" Type="http://schemas.openxmlformats.org/officeDocument/2006/relationships/hyperlink" Target="http://www.mfe.govt.nz/environmental-reporting/air/air-quality/pm10/nes/waikato/putaruru.html" TargetMode="External"/><Relationship Id="rId2" Type="http://schemas.openxmlformats.org/officeDocument/2006/relationships/hyperlink" Target="http://www.mfe.govt.nz/environmental-reporting/air/air-quality/pm10/nes/waikato/matamata.html" TargetMode="External"/><Relationship Id="rId1" Type="http://schemas.openxmlformats.org/officeDocument/2006/relationships/hyperlink" Target="http://www.mfe.govt.nz/environmental-reporting/air/air-quality/pm10/nes/waikato/hamilton.html" TargetMode="External"/><Relationship Id="rId6" Type="http://schemas.openxmlformats.org/officeDocument/2006/relationships/hyperlink" Target="http://www.mfe.govt.nz/environmental-reporting/air/air-quality/pm10/nes/waikato/tokoroa.html" TargetMode="External"/><Relationship Id="rId5" Type="http://schemas.openxmlformats.org/officeDocument/2006/relationships/hyperlink" Target="http://www.mfe.govt.nz/environmental-reporting/air/air-quality/pm10/nes/waikato/te-kuiti.html" TargetMode="External"/><Relationship Id="rId4" Type="http://schemas.openxmlformats.org/officeDocument/2006/relationships/hyperlink" Target="http://www.mfe.govt.nz/environmental-reporting/air/air-quality/pm10/nes/waikato/taupo.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www.mfe.govt.nz/environmental-reporting/air/air-quality/pm10/nes/waikato/matamata.html" TargetMode="External"/><Relationship Id="rId7" Type="http://schemas.openxmlformats.org/officeDocument/2006/relationships/hyperlink" Target="http://www.mfe.govt.nz/environmental-reporting/air/air-quality/pm10/nes/waikato/tokoroa.html" TargetMode="External"/><Relationship Id="rId2" Type="http://schemas.openxmlformats.org/officeDocument/2006/relationships/hyperlink" Target="http://www.mfe.govt.nz/environmental-reporting/air/air-quality/pm10/nes/waikato/hamilton.html" TargetMode="External"/><Relationship Id="rId1" Type="http://schemas.openxmlformats.org/officeDocument/2006/relationships/hyperlink" Target="http://www.mfe.govt.nz/environmental-reporting/air/air-quality/pm10/nes/waikato/putaruru.html" TargetMode="External"/><Relationship Id="rId6" Type="http://schemas.openxmlformats.org/officeDocument/2006/relationships/hyperlink" Target="http://www.mfe.govt.nz/environmental-reporting/air/air-quality/pm10/nes/waikato/te-kuiti.html" TargetMode="External"/><Relationship Id="rId5" Type="http://schemas.openxmlformats.org/officeDocument/2006/relationships/hyperlink" Target="http://www.mfe.govt.nz/environmental-reporting/air/air-quality/pm10/nes/waikato/taupo.html" TargetMode="External"/><Relationship Id="rId4" Type="http://schemas.openxmlformats.org/officeDocument/2006/relationships/hyperlink" Target="http://www.mfe.govt.nz/environmental-reporting/air/air-quality/pm10/nes/waikato/putarur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F22"/>
  <sheetViews>
    <sheetView showGridLines="0" workbookViewId="0"/>
  </sheetViews>
  <sheetFormatPr defaultRowHeight="15"/>
  <cols>
    <col min="2" max="2" width="26.140625" bestFit="1" customWidth="1"/>
    <col min="4" max="4" width="12.42578125" bestFit="1" customWidth="1"/>
  </cols>
  <sheetData>
    <row r="5" spans="1:6">
      <c r="A5" t="s">
        <v>162</v>
      </c>
    </row>
    <row r="6" spans="1:6">
      <c r="A6" t="s">
        <v>163</v>
      </c>
    </row>
    <row r="7" spans="1:6">
      <c r="A7" t="s">
        <v>278</v>
      </c>
    </row>
    <row r="9" spans="1:6">
      <c r="B9" s="44" t="s">
        <v>258</v>
      </c>
      <c r="C9" s="44" t="s">
        <v>259</v>
      </c>
    </row>
    <row r="10" spans="1:6">
      <c r="B10" s="45"/>
      <c r="C10" s="45"/>
    </row>
    <row r="11" spans="1:6">
      <c r="B11" s="46" t="s">
        <v>277</v>
      </c>
      <c r="C11" s="45" t="s">
        <v>260</v>
      </c>
    </row>
    <row r="12" spans="1:6">
      <c r="B12" s="45"/>
      <c r="F12" t="s">
        <v>164</v>
      </c>
    </row>
    <row r="14" spans="1:6">
      <c r="B14" s="47" t="s">
        <v>276</v>
      </c>
      <c r="C14" t="s">
        <v>273</v>
      </c>
    </row>
    <row r="15" spans="1:6">
      <c r="B15" s="28"/>
    </row>
    <row r="16" spans="1:6">
      <c r="B16" s="47" t="s">
        <v>274</v>
      </c>
      <c r="C16" t="s">
        <v>261</v>
      </c>
    </row>
    <row r="17" spans="2:6">
      <c r="B17" s="45"/>
      <c r="F17" t="s">
        <v>254</v>
      </c>
    </row>
    <row r="18" spans="2:6">
      <c r="B18" s="45"/>
      <c r="F18" s="28" t="s">
        <v>275</v>
      </c>
    </row>
    <row r="19" spans="2:6">
      <c r="C19" s="45"/>
    </row>
    <row r="21" spans="2:6">
      <c r="D21" s="45"/>
      <c r="E21" s="45"/>
    </row>
    <row r="22" spans="2:6">
      <c r="D22" s="45"/>
      <c r="E22" s="45"/>
    </row>
  </sheetData>
  <customSheetViews>
    <customSheetView guid="{49FAD1FC-B127-4C82-8D4A-0275FF7C3CEE}">
      <selection activeCell="A11" sqref="A11"/>
      <pageMargins left="0.7" right="0.7" top="0.75" bottom="0.75" header="0.3" footer="0.3"/>
    </customSheetView>
    <customSheetView guid="{928159B0-05E8-465E-A540-962C8FD8BCB1}" showPageBreaks="1">
      <selection activeCell="A11" sqref="A11"/>
      <pageMargins left="0.7" right="0.7" top="0.75" bottom="0.75" header="0.3" footer="0.3"/>
    </customSheetView>
    <customSheetView guid="{F250E2F8-6B86-456F-B514-F3BFB5AE941A}">
      <selection activeCell="A15" sqref="A15"/>
      <pageMargins left="0.7" right="0.7" top="0.75" bottom="0.75" header="0.3" footer="0.3"/>
    </customSheetView>
    <customSheetView guid="{7DDE176A-57E3-4883-B650-6417AB131A8F}">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6"/>
  <sheetViews>
    <sheetView zoomScale="98" zoomScaleNormal="98" workbookViewId="0">
      <pane xSplit="3" ySplit="2" topLeftCell="D3" activePane="bottomRight" state="frozen"/>
      <selection pane="topRight" activeCell="D1" sqref="D1"/>
      <selection pane="bottomLeft" activeCell="A3" sqref="A3"/>
      <selection pane="bottomRight" activeCell="D3" sqref="D3"/>
    </sheetView>
  </sheetViews>
  <sheetFormatPr defaultRowHeight="15"/>
  <cols>
    <col min="1" max="1" width="27.28515625" style="12" bestFit="1" customWidth="1"/>
    <col min="2" max="2" width="12.85546875" style="7" bestFit="1" customWidth="1"/>
    <col min="3" max="3" width="16.85546875" style="7" bestFit="1" customWidth="1"/>
    <col min="4" max="4" width="27.85546875" style="1" bestFit="1" customWidth="1"/>
    <col min="5" max="5" width="10.85546875" style="7" bestFit="1" customWidth="1"/>
    <col min="6" max="12" width="9.140625" style="12"/>
    <col min="13" max="16384" width="9.140625" style="7"/>
  </cols>
  <sheetData>
    <row r="1" spans="1:19" ht="21">
      <c r="A1" s="143" t="s">
        <v>255</v>
      </c>
      <c r="F1" s="12" t="s">
        <v>257</v>
      </c>
      <c r="L1" s="12" t="s">
        <v>256</v>
      </c>
    </row>
    <row r="2" spans="1:19">
      <c r="A2" s="12" t="s">
        <v>241</v>
      </c>
      <c r="B2" s="7" t="s">
        <v>146</v>
      </c>
      <c r="C2" s="7" t="s">
        <v>0</v>
      </c>
      <c r="D2" s="1" t="s">
        <v>2</v>
      </c>
      <c r="E2" s="7" t="s">
        <v>1</v>
      </c>
      <c r="F2" s="144">
        <v>2006</v>
      </c>
      <c r="G2" s="144">
        <v>2007</v>
      </c>
      <c r="H2" s="144">
        <v>2008</v>
      </c>
      <c r="I2" s="144">
        <v>2009</v>
      </c>
      <c r="J2" s="144">
        <v>2010</v>
      </c>
      <c r="K2" s="144">
        <v>2011</v>
      </c>
      <c r="L2" s="144">
        <v>2012</v>
      </c>
      <c r="M2" s="7" t="s">
        <v>3</v>
      </c>
    </row>
    <row r="3" spans="1:19">
      <c r="A3" s="12" t="s">
        <v>77</v>
      </c>
      <c r="B3" s="1" t="s">
        <v>10</v>
      </c>
      <c r="C3" s="1" t="s">
        <v>10</v>
      </c>
      <c r="D3" s="1" t="s">
        <v>77</v>
      </c>
      <c r="E3" s="1" t="s">
        <v>6</v>
      </c>
      <c r="F3" s="104">
        <v>12.2</v>
      </c>
      <c r="G3" s="104">
        <v>12.1</v>
      </c>
      <c r="H3" s="104">
        <v>12.1</v>
      </c>
      <c r="I3" s="104">
        <v>11.9</v>
      </c>
      <c r="J3" s="104">
        <v>11.2</v>
      </c>
      <c r="K3" s="104">
        <v>11.5</v>
      </c>
      <c r="L3" s="104">
        <v>11.4</v>
      </c>
      <c r="S3" s="12"/>
    </row>
    <row r="4" spans="1:19">
      <c r="A4" s="12" t="s">
        <v>78</v>
      </c>
      <c r="B4" s="1" t="s">
        <v>10</v>
      </c>
      <c r="C4" s="1" t="s">
        <v>10</v>
      </c>
      <c r="D4" s="1" t="s">
        <v>78</v>
      </c>
      <c r="E4" s="1" t="s">
        <v>6</v>
      </c>
      <c r="F4" s="104">
        <v>13.3</v>
      </c>
      <c r="G4" s="104">
        <v>12.8</v>
      </c>
      <c r="H4" s="104">
        <v>13.8</v>
      </c>
      <c r="I4" s="104">
        <v>13.6</v>
      </c>
      <c r="J4" s="104">
        <v>13.6</v>
      </c>
      <c r="K4" s="104">
        <v>13.4</v>
      </c>
      <c r="L4" s="104">
        <v>13.6</v>
      </c>
      <c r="S4" s="12"/>
    </row>
    <row r="5" spans="1:19">
      <c r="A5" s="12" t="s">
        <v>79</v>
      </c>
      <c r="B5" s="1" t="s">
        <v>10</v>
      </c>
      <c r="C5" s="1" t="s">
        <v>10</v>
      </c>
      <c r="D5" s="1" t="s">
        <v>79</v>
      </c>
      <c r="E5" s="1" t="s">
        <v>6</v>
      </c>
      <c r="F5" s="104">
        <v>16.600000000000001</v>
      </c>
      <c r="G5" s="104">
        <v>16.7</v>
      </c>
      <c r="H5" s="104">
        <v>14.8</v>
      </c>
      <c r="I5" s="104">
        <v>13.5</v>
      </c>
      <c r="J5" s="104">
        <v>12.6</v>
      </c>
      <c r="K5" s="104">
        <v>12.2</v>
      </c>
      <c r="L5" s="104">
        <v>13.5</v>
      </c>
      <c r="S5" s="12"/>
    </row>
    <row r="6" spans="1:19">
      <c r="A6" s="12" t="s">
        <v>80</v>
      </c>
      <c r="B6" s="1" t="s">
        <v>10</v>
      </c>
      <c r="C6" s="1" t="s">
        <v>10</v>
      </c>
      <c r="D6" s="1" t="s">
        <v>80</v>
      </c>
      <c r="E6" s="1" t="s">
        <v>6</v>
      </c>
      <c r="F6" s="104"/>
      <c r="G6" s="104">
        <v>22.7</v>
      </c>
      <c r="H6" s="104">
        <v>21.2</v>
      </c>
      <c r="I6" s="104">
        <v>23.9</v>
      </c>
      <c r="J6" s="104">
        <v>19.8</v>
      </c>
      <c r="K6" s="104">
        <v>19.100000000000001</v>
      </c>
      <c r="L6" s="104">
        <v>19.399999999999999</v>
      </c>
      <c r="S6" s="3"/>
    </row>
    <row r="7" spans="1:19">
      <c r="A7" s="12" t="s">
        <v>81</v>
      </c>
      <c r="B7" s="1" t="s">
        <v>10</v>
      </c>
      <c r="C7" s="7" t="s">
        <v>10</v>
      </c>
      <c r="D7" s="1" t="s">
        <v>81</v>
      </c>
      <c r="E7" s="1" t="s">
        <v>6</v>
      </c>
      <c r="F7" s="104">
        <v>15</v>
      </c>
      <c r="G7" s="104"/>
      <c r="H7" s="104"/>
      <c r="I7" s="104"/>
      <c r="J7" s="104"/>
      <c r="K7" s="104"/>
      <c r="L7" s="104"/>
      <c r="S7" s="3"/>
    </row>
    <row r="8" spans="1:19">
      <c r="A8" s="12" t="s">
        <v>82</v>
      </c>
      <c r="B8" s="1" t="s">
        <v>10</v>
      </c>
      <c r="C8" s="1" t="s">
        <v>10</v>
      </c>
      <c r="D8" s="1" t="s">
        <v>82</v>
      </c>
      <c r="E8" s="1" t="s">
        <v>6</v>
      </c>
      <c r="F8" s="104"/>
      <c r="G8" s="104"/>
      <c r="H8" s="104">
        <v>14.6</v>
      </c>
      <c r="I8" s="104">
        <v>13.8</v>
      </c>
      <c r="J8" s="104">
        <v>12.9</v>
      </c>
      <c r="K8" s="104">
        <v>13.7</v>
      </c>
      <c r="L8" s="104">
        <v>13.4</v>
      </c>
      <c r="S8" s="3"/>
    </row>
    <row r="9" spans="1:19">
      <c r="A9" s="12" t="s">
        <v>83</v>
      </c>
      <c r="B9" s="1" t="s">
        <v>10</v>
      </c>
      <c r="C9" s="1" t="s">
        <v>10</v>
      </c>
      <c r="D9" s="1" t="s">
        <v>83</v>
      </c>
      <c r="E9" s="1" t="s">
        <v>6</v>
      </c>
      <c r="F9" s="104">
        <v>17.2</v>
      </c>
      <c r="G9" s="104">
        <v>16.7</v>
      </c>
      <c r="H9" s="104">
        <v>17.399999999999999</v>
      </c>
      <c r="I9" s="104">
        <v>16.5</v>
      </c>
      <c r="J9" s="104">
        <v>14.6</v>
      </c>
      <c r="K9" s="104">
        <v>13.8</v>
      </c>
      <c r="L9" s="104">
        <v>15.1</v>
      </c>
      <c r="S9" s="3"/>
    </row>
    <row r="10" spans="1:19">
      <c r="A10" s="12" t="s">
        <v>86</v>
      </c>
      <c r="B10" s="1" t="s">
        <v>10</v>
      </c>
      <c r="C10" s="1" t="s">
        <v>10</v>
      </c>
      <c r="D10" s="1" t="s">
        <v>86</v>
      </c>
      <c r="E10" s="1" t="s">
        <v>6</v>
      </c>
      <c r="F10" s="104">
        <v>17.600000000000001</v>
      </c>
      <c r="G10" s="104">
        <v>17.600000000000001</v>
      </c>
      <c r="H10" s="104">
        <v>17.899999999999999</v>
      </c>
      <c r="I10" s="104">
        <v>17.7</v>
      </c>
      <c r="J10" s="104">
        <v>16</v>
      </c>
      <c r="K10" s="104">
        <v>14.7</v>
      </c>
      <c r="L10" s="104">
        <v>14.6</v>
      </c>
      <c r="S10" s="12"/>
    </row>
    <row r="11" spans="1:19">
      <c r="A11" s="12" t="s">
        <v>87</v>
      </c>
      <c r="B11" s="1" t="s">
        <v>10</v>
      </c>
      <c r="C11" s="1" t="s">
        <v>10</v>
      </c>
      <c r="D11" s="1" t="s">
        <v>87</v>
      </c>
      <c r="E11" s="1" t="s">
        <v>6</v>
      </c>
      <c r="F11" s="104"/>
      <c r="G11" s="104"/>
      <c r="H11" s="104"/>
      <c r="I11" s="104"/>
      <c r="J11" s="104"/>
      <c r="K11" s="104">
        <v>15.5</v>
      </c>
      <c r="L11" s="104">
        <v>15.5</v>
      </c>
      <c r="S11" s="12"/>
    </row>
    <row r="12" spans="1:19">
      <c r="A12" s="12" t="s">
        <v>89</v>
      </c>
      <c r="B12" s="1" t="s">
        <v>10</v>
      </c>
      <c r="C12" s="1" t="s">
        <v>10</v>
      </c>
      <c r="D12" s="1" t="s">
        <v>90</v>
      </c>
      <c r="E12" s="1" t="s">
        <v>38</v>
      </c>
      <c r="F12" s="104">
        <v>19.8</v>
      </c>
      <c r="G12" s="104">
        <v>20.9</v>
      </c>
      <c r="H12" s="104">
        <v>18.8</v>
      </c>
      <c r="I12" s="104">
        <v>18.100000000000001</v>
      </c>
      <c r="J12" s="104">
        <v>17.2</v>
      </c>
      <c r="K12" s="104">
        <v>17.100000000000001</v>
      </c>
      <c r="L12" s="104">
        <v>15.4</v>
      </c>
      <c r="S12" s="12"/>
    </row>
    <row r="13" spans="1:19">
      <c r="A13" s="12" t="s">
        <v>11</v>
      </c>
      <c r="B13" s="13" t="s">
        <v>10</v>
      </c>
      <c r="C13" s="13" t="s">
        <v>10</v>
      </c>
      <c r="D13" s="1" t="s">
        <v>12</v>
      </c>
      <c r="E13" s="7" t="s">
        <v>6</v>
      </c>
      <c r="F13" s="104">
        <v>18.3</v>
      </c>
      <c r="G13" s="104">
        <v>18.2</v>
      </c>
      <c r="H13" s="104">
        <v>16.7</v>
      </c>
      <c r="I13" s="104">
        <v>15.8</v>
      </c>
      <c r="J13" s="104">
        <v>14.7</v>
      </c>
      <c r="K13" s="104">
        <v>16.100000000000001</v>
      </c>
      <c r="L13" s="104">
        <v>15.1</v>
      </c>
      <c r="S13" s="8"/>
    </row>
    <row r="14" spans="1:19">
      <c r="A14" s="12" t="s">
        <v>8</v>
      </c>
      <c r="B14" s="13" t="s">
        <v>10</v>
      </c>
      <c r="C14" s="13" t="s">
        <v>8</v>
      </c>
      <c r="D14" s="1" t="s">
        <v>8</v>
      </c>
      <c r="E14" s="7" t="s">
        <v>6</v>
      </c>
      <c r="F14" s="104"/>
      <c r="G14" s="104"/>
      <c r="H14" s="104"/>
      <c r="I14" s="104"/>
      <c r="J14" s="104">
        <v>13.3</v>
      </c>
      <c r="K14" s="104"/>
      <c r="L14" s="104"/>
      <c r="S14" s="12"/>
    </row>
    <row r="15" spans="1:19">
      <c r="A15" s="12" t="s">
        <v>9</v>
      </c>
      <c r="B15" s="13" t="s">
        <v>10</v>
      </c>
      <c r="C15" s="13" t="s">
        <v>9</v>
      </c>
      <c r="D15" s="1" t="s">
        <v>9</v>
      </c>
      <c r="E15" s="7" t="s">
        <v>6</v>
      </c>
      <c r="F15" s="104"/>
      <c r="G15" s="104">
        <v>16.600000000000001</v>
      </c>
      <c r="H15" s="104">
        <v>16.5</v>
      </c>
      <c r="I15" s="104">
        <v>15.8</v>
      </c>
      <c r="J15" s="104">
        <v>15.8</v>
      </c>
      <c r="K15" s="104">
        <v>15.2</v>
      </c>
      <c r="L15" s="104">
        <v>15.9</v>
      </c>
      <c r="S15" s="12"/>
    </row>
    <row r="16" spans="1:19">
      <c r="A16" s="12" t="s">
        <v>88</v>
      </c>
      <c r="B16" s="1" t="s">
        <v>10</v>
      </c>
      <c r="C16" s="7" t="s">
        <v>88</v>
      </c>
      <c r="D16" s="1" t="s">
        <v>88</v>
      </c>
      <c r="E16" s="1" t="s">
        <v>6</v>
      </c>
      <c r="F16" s="104"/>
      <c r="G16" s="104">
        <v>14.3</v>
      </c>
      <c r="H16" s="104">
        <v>16</v>
      </c>
      <c r="I16" s="104"/>
      <c r="J16" s="104"/>
      <c r="K16" s="104"/>
      <c r="L16" s="104"/>
      <c r="S16" s="12"/>
    </row>
    <row r="17" spans="1:15">
      <c r="A17" s="12" t="s">
        <v>85</v>
      </c>
      <c r="B17" s="1" t="s">
        <v>10</v>
      </c>
      <c r="C17" s="1" t="s">
        <v>84</v>
      </c>
      <c r="D17" s="1" t="s">
        <v>85</v>
      </c>
      <c r="E17" s="1" t="s">
        <v>6</v>
      </c>
      <c r="F17" s="104">
        <v>12</v>
      </c>
      <c r="G17" s="104">
        <v>12.2</v>
      </c>
      <c r="H17" s="104">
        <v>13</v>
      </c>
      <c r="I17" s="104">
        <v>11.5</v>
      </c>
      <c r="J17" s="104">
        <v>11.4</v>
      </c>
      <c r="K17" s="104">
        <v>11.2</v>
      </c>
      <c r="L17" s="104">
        <v>11</v>
      </c>
    </row>
    <row r="18" spans="1:15">
      <c r="A18" s="12" t="s">
        <v>93</v>
      </c>
      <c r="B18" s="1" t="s">
        <v>10</v>
      </c>
      <c r="C18" s="1" t="s">
        <v>84</v>
      </c>
      <c r="D18" s="1" t="s">
        <v>93</v>
      </c>
      <c r="E18" s="1" t="s">
        <v>6</v>
      </c>
      <c r="F18" s="104"/>
      <c r="G18" s="104"/>
      <c r="H18" s="104"/>
      <c r="I18" s="104">
        <v>11.4</v>
      </c>
      <c r="J18" s="104">
        <v>10.6</v>
      </c>
      <c r="K18" s="104">
        <v>11.3</v>
      </c>
      <c r="L18" s="104">
        <v>11.3</v>
      </c>
    </row>
    <row r="19" spans="1:15">
      <c r="A19" s="12" t="s">
        <v>14</v>
      </c>
      <c r="B19" s="13" t="s">
        <v>10</v>
      </c>
      <c r="C19" s="13" t="s">
        <v>13</v>
      </c>
      <c r="D19" s="1" t="s">
        <v>14</v>
      </c>
      <c r="E19" s="7" t="s">
        <v>6</v>
      </c>
      <c r="F19" s="104"/>
      <c r="G19" s="104"/>
      <c r="H19" s="104"/>
      <c r="I19" s="104">
        <v>12.5</v>
      </c>
      <c r="J19" s="104">
        <v>12.1</v>
      </c>
      <c r="K19" s="104"/>
      <c r="L19" s="104"/>
    </row>
    <row r="20" spans="1:15">
      <c r="A20" s="12" t="s">
        <v>91</v>
      </c>
      <c r="B20" s="13" t="s">
        <v>10</v>
      </c>
      <c r="C20" s="7" t="s">
        <v>91</v>
      </c>
      <c r="D20" s="1" t="s">
        <v>91</v>
      </c>
      <c r="E20" s="1" t="s">
        <v>6</v>
      </c>
      <c r="F20" s="104"/>
      <c r="G20" s="104"/>
      <c r="H20" s="104"/>
      <c r="I20" s="104">
        <v>15.1</v>
      </c>
      <c r="J20" s="104"/>
      <c r="K20" s="104"/>
      <c r="L20" s="104"/>
    </row>
    <row r="21" spans="1:15">
      <c r="A21" s="12" t="s">
        <v>92</v>
      </c>
      <c r="B21" s="13" t="s">
        <v>10</v>
      </c>
      <c r="C21" s="7" t="s">
        <v>92</v>
      </c>
      <c r="D21" s="1" t="s">
        <v>92</v>
      </c>
      <c r="E21" s="1" t="s">
        <v>6</v>
      </c>
      <c r="F21" s="104"/>
      <c r="G21" s="104"/>
      <c r="H21" s="104">
        <v>16.399999999999999</v>
      </c>
      <c r="I21" s="104"/>
      <c r="J21" s="104"/>
      <c r="K21" s="104"/>
      <c r="L21" s="104"/>
    </row>
    <row r="22" spans="1:15">
      <c r="A22" s="12" t="s">
        <v>16</v>
      </c>
      <c r="B22" s="13" t="s">
        <v>147</v>
      </c>
      <c r="C22" s="13" t="s">
        <v>15</v>
      </c>
      <c r="D22" s="1" t="s">
        <v>17</v>
      </c>
      <c r="E22" s="7" t="s">
        <v>5</v>
      </c>
      <c r="F22" s="104">
        <v>19.3</v>
      </c>
      <c r="G22" s="104">
        <v>19.899999999999999</v>
      </c>
      <c r="H22" s="104">
        <v>21.3</v>
      </c>
      <c r="I22" s="104">
        <v>25.9</v>
      </c>
      <c r="J22" s="104">
        <v>20.9</v>
      </c>
      <c r="K22" s="104">
        <v>13.2</v>
      </c>
      <c r="L22" s="104">
        <v>18.2</v>
      </c>
    </row>
    <row r="23" spans="1:15">
      <c r="A23" s="3" t="s">
        <v>98</v>
      </c>
      <c r="B23" s="5" t="s">
        <v>147</v>
      </c>
      <c r="C23" s="4" t="s">
        <v>15</v>
      </c>
      <c r="D23" s="1" t="s">
        <v>99</v>
      </c>
      <c r="E23" s="7" t="s">
        <v>31</v>
      </c>
      <c r="F23" s="104"/>
      <c r="G23" s="104"/>
      <c r="H23" s="104">
        <v>17.399999999999999</v>
      </c>
      <c r="I23" s="104">
        <v>17.399999999999999</v>
      </c>
      <c r="J23" s="104">
        <v>20.399999999999999</v>
      </c>
      <c r="K23" s="104">
        <v>15.4</v>
      </c>
      <c r="L23" s="104">
        <v>24.3</v>
      </c>
    </row>
    <row r="24" spans="1:15">
      <c r="A24" s="3" t="s">
        <v>102</v>
      </c>
      <c r="B24" s="5" t="s">
        <v>147</v>
      </c>
      <c r="C24" s="4" t="s">
        <v>15</v>
      </c>
      <c r="D24" s="1" t="s">
        <v>103</v>
      </c>
      <c r="E24" s="7" t="s">
        <v>31</v>
      </c>
      <c r="F24" s="104">
        <v>17.3</v>
      </c>
      <c r="G24" s="104">
        <v>11.5</v>
      </c>
      <c r="H24" s="104">
        <v>12.3</v>
      </c>
      <c r="I24" s="104">
        <v>14.1</v>
      </c>
      <c r="J24" s="104">
        <v>18.5</v>
      </c>
      <c r="K24" s="104">
        <v>13.9</v>
      </c>
      <c r="L24" s="104"/>
    </row>
    <row r="25" spans="1:15">
      <c r="A25" s="12" t="s">
        <v>104</v>
      </c>
      <c r="B25" s="13" t="s">
        <v>147</v>
      </c>
      <c r="C25" s="7" t="s">
        <v>84</v>
      </c>
      <c r="D25" s="1" t="s">
        <v>104</v>
      </c>
      <c r="E25" s="7" t="s">
        <v>38</v>
      </c>
      <c r="F25" s="104">
        <v>9.1999999999999993</v>
      </c>
      <c r="G25" s="104">
        <v>8.6999999999999993</v>
      </c>
      <c r="H25" s="104">
        <v>8.6</v>
      </c>
      <c r="I25" s="104">
        <v>6.9</v>
      </c>
      <c r="J25" s="104">
        <v>9.1999999999999993</v>
      </c>
      <c r="K25" s="104">
        <v>8</v>
      </c>
      <c r="L25" s="104">
        <v>8</v>
      </c>
      <c r="M25" s="7" t="s">
        <v>161</v>
      </c>
    </row>
    <row r="26" spans="1:15">
      <c r="A26" s="3" t="s">
        <v>100</v>
      </c>
      <c r="B26" s="5" t="s">
        <v>147</v>
      </c>
      <c r="C26" s="4" t="s">
        <v>97</v>
      </c>
      <c r="D26" s="1" t="s">
        <v>101</v>
      </c>
      <c r="E26" s="7" t="s">
        <v>31</v>
      </c>
      <c r="F26" s="104">
        <v>12.2</v>
      </c>
      <c r="G26" s="104">
        <v>12.4</v>
      </c>
      <c r="H26" s="104">
        <v>13.2</v>
      </c>
      <c r="I26" s="104">
        <v>13.3</v>
      </c>
      <c r="J26" s="104">
        <v>12.2</v>
      </c>
      <c r="K26" s="104">
        <v>13.7</v>
      </c>
      <c r="L26" s="104">
        <v>13.4</v>
      </c>
    </row>
    <row r="27" spans="1:15">
      <c r="A27" s="3" t="s">
        <v>96</v>
      </c>
      <c r="B27" s="2" t="s">
        <v>147</v>
      </c>
      <c r="C27" s="3" t="s">
        <v>95</v>
      </c>
      <c r="D27" s="1" t="s">
        <v>95</v>
      </c>
      <c r="E27" s="1" t="s">
        <v>31</v>
      </c>
      <c r="F27" s="104"/>
      <c r="G27" s="104">
        <v>14.9</v>
      </c>
      <c r="H27" s="104">
        <v>16.600000000000001</v>
      </c>
      <c r="I27" s="104">
        <v>12.2</v>
      </c>
      <c r="J27" s="104">
        <v>9.5</v>
      </c>
      <c r="K27" s="104">
        <v>12.6</v>
      </c>
      <c r="L27" s="104"/>
    </row>
    <row r="28" spans="1:15">
      <c r="A28" s="13" t="s">
        <v>18</v>
      </c>
      <c r="B28" s="13" t="s">
        <v>148</v>
      </c>
      <c r="C28" s="13" t="s">
        <v>18</v>
      </c>
      <c r="D28" s="1" t="s">
        <v>18</v>
      </c>
      <c r="E28" s="7" t="s">
        <v>5</v>
      </c>
      <c r="F28" s="104">
        <v>25.7</v>
      </c>
      <c r="G28" s="104">
        <v>21.2</v>
      </c>
      <c r="H28" s="104">
        <v>24.1</v>
      </c>
      <c r="I28" s="104">
        <v>23.3</v>
      </c>
      <c r="J28" s="104">
        <v>21.6</v>
      </c>
      <c r="K28" s="104">
        <v>23.2</v>
      </c>
      <c r="L28" s="104">
        <v>21.2</v>
      </c>
    </row>
    <row r="29" spans="1:15">
      <c r="A29" s="12" t="s">
        <v>107</v>
      </c>
      <c r="B29" s="7" t="s">
        <v>148</v>
      </c>
      <c r="C29" s="7" t="s">
        <v>4</v>
      </c>
      <c r="D29" s="1" t="s">
        <v>108</v>
      </c>
      <c r="E29" s="9" t="s">
        <v>6</v>
      </c>
      <c r="F29" s="104">
        <v>21.3</v>
      </c>
      <c r="G29" s="104">
        <v>18.7</v>
      </c>
      <c r="H29" s="104">
        <v>20.8</v>
      </c>
      <c r="I29" s="104">
        <v>19.8</v>
      </c>
      <c r="J29" s="104">
        <v>16.8</v>
      </c>
      <c r="K29" s="104"/>
      <c r="L29" s="104"/>
      <c r="O29" s="3"/>
    </row>
    <row r="30" spans="1:15">
      <c r="A30" s="12" t="s">
        <v>110</v>
      </c>
      <c r="B30" s="7" t="s">
        <v>148</v>
      </c>
      <c r="C30" s="7" t="s">
        <v>4</v>
      </c>
      <c r="D30" s="1" t="s">
        <v>111</v>
      </c>
      <c r="E30" s="7" t="s">
        <v>5</v>
      </c>
      <c r="F30" s="104">
        <v>21.3</v>
      </c>
      <c r="G30" s="104">
        <v>19.399999999999999</v>
      </c>
      <c r="H30" s="104">
        <v>20.399999999999999</v>
      </c>
      <c r="I30" s="104">
        <v>19.8</v>
      </c>
      <c r="J30" s="104">
        <v>17.7</v>
      </c>
      <c r="K30" s="104">
        <v>22.1</v>
      </c>
      <c r="L30" s="104">
        <v>19</v>
      </c>
    </row>
    <row r="31" spans="1:15">
      <c r="A31" s="12" t="s">
        <v>113</v>
      </c>
      <c r="B31" s="7" t="s">
        <v>148</v>
      </c>
      <c r="C31" s="7" t="s">
        <v>4</v>
      </c>
      <c r="D31" s="1" t="s">
        <v>114</v>
      </c>
      <c r="E31" s="7" t="s">
        <v>5</v>
      </c>
      <c r="F31" s="104">
        <v>21.4</v>
      </c>
      <c r="G31" s="104">
        <v>22.2</v>
      </c>
      <c r="H31" s="104">
        <v>23.8</v>
      </c>
      <c r="I31" s="104">
        <v>21</v>
      </c>
      <c r="J31" s="104">
        <v>22.1</v>
      </c>
      <c r="K31" s="104">
        <v>25</v>
      </c>
      <c r="L31" s="104">
        <v>22.7</v>
      </c>
    </row>
    <row r="32" spans="1:15">
      <c r="A32" s="12" t="s">
        <v>19</v>
      </c>
      <c r="B32" s="13" t="s">
        <v>148</v>
      </c>
      <c r="C32" s="13" t="s">
        <v>19</v>
      </c>
      <c r="D32" s="1" t="s">
        <v>19</v>
      </c>
      <c r="E32" s="7" t="s">
        <v>5</v>
      </c>
      <c r="F32" s="104"/>
      <c r="G32" s="104">
        <v>18.3</v>
      </c>
      <c r="H32" s="104">
        <v>21.3</v>
      </c>
      <c r="I32" s="104">
        <v>22.1</v>
      </c>
      <c r="J32" s="104">
        <v>19.2</v>
      </c>
      <c r="K32" s="104">
        <v>19.100000000000001</v>
      </c>
      <c r="L32" s="104">
        <v>20</v>
      </c>
    </row>
    <row r="33" spans="1:15">
      <c r="A33" s="12" t="s">
        <v>20</v>
      </c>
      <c r="B33" s="13" t="s">
        <v>148</v>
      </c>
      <c r="C33" s="13" t="s">
        <v>20</v>
      </c>
      <c r="D33" s="1" t="s">
        <v>20</v>
      </c>
      <c r="E33" s="7" t="s">
        <v>5</v>
      </c>
      <c r="F33" s="104">
        <v>24.5</v>
      </c>
      <c r="G33" s="104">
        <v>20.9</v>
      </c>
      <c r="H33" s="104">
        <v>22.7</v>
      </c>
      <c r="I33" s="104">
        <v>22.2</v>
      </c>
      <c r="J33" s="104">
        <v>22.5</v>
      </c>
      <c r="K33" s="104">
        <v>21.8</v>
      </c>
      <c r="L33" s="104">
        <v>18.399999999999999</v>
      </c>
    </row>
    <row r="34" spans="1:15">
      <c r="A34" s="12" t="s">
        <v>21</v>
      </c>
      <c r="B34" s="13" t="s">
        <v>148</v>
      </c>
      <c r="C34" s="13" t="s">
        <v>21</v>
      </c>
      <c r="D34" s="1" t="s">
        <v>21</v>
      </c>
      <c r="E34" s="7" t="s">
        <v>5</v>
      </c>
      <c r="F34" s="104">
        <v>18</v>
      </c>
      <c r="G34" s="104">
        <v>18.2</v>
      </c>
      <c r="H34" s="104"/>
      <c r="I34" s="104">
        <v>18.5</v>
      </c>
      <c r="J34" s="104">
        <v>17.8</v>
      </c>
      <c r="K34" s="104">
        <v>16.899999999999999</v>
      </c>
      <c r="L34" s="104">
        <v>17.2</v>
      </c>
    </row>
    <row r="35" spans="1:15">
      <c r="A35" s="12" t="s">
        <v>106</v>
      </c>
      <c r="B35" s="7" t="s">
        <v>148</v>
      </c>
      <c r="C35" s="7" t="s">
        <v>7</v>
      </c>
      <c r="D35" s="1" t="s">
        <v>7</v>
      </c>
      <c r="E35" s="7" t="s">
        <v>5</v>
      </c>
      <c r="F35" s="104"/>
      <c r="G35" s="104">
        <v>24.8</v>
      </c>
      <c r="H35" s="104">
        <v>28.2</v>
      </c>
      <c r="I35" s="104">
        <v>27.9</v>
      </c>
      <c r="J35" s="104">
        <v>29.9</v>
      </c>
      <c r="K35" s="104">
        <v>27.6</v>
      </c>
      <c r="L35" s="104">
        <v>27.2</v>
      </c>
    </row>
    <row r="36" spans="1:15">
      <c r="A36" s="12" t="s">
        <v>112</v>
      </c>
      <c r="B36" s="7" t="s">
        <v>148</v>
      </c>
      <c r="C36" s="7" t="s">
        <v>7</v>
      </c>
      <c r="D36" s="1" t="s">
        <v>112</v>
      </c>
      <c r="E36" s="7" t="s">
        <v>5</v>
      </c>
      <c r="F36" s="104"/>
      <c r="G36" s="104"/>
      <c r="H36" s="104"/>
      <c r="I36" s="104">
        <v>20.2</v>
      </c>
      <c r="J36" s="104">
        <v>21.1</v>
      </c>
      <c r="K36" s="104">
        <v>18.600000000000001</v>
      </c>
      <c r="L36" s="104">
        <v>16.5</v>
      </c>
      <c r="O36" s="12"/>
    </row>
    <row r="37" spans="1:15">
      <c r="A37" s="12" t="s">
        <v>22</v>
      </c>
      <c r="B37" s="13" t="s">
        <v>148</v>
      </c>
      <c r="C37" s="13" t="s">
        <v>22</v>
      </c>
      <c r="D37" s="1" t="s">
        <v>22</v>
      </c>
      <c r="E37" s="7" t="s">
        <v>5</v>
      </c>
      <c r="F37" s="104"/>
      <c r="G37" s="104">
        <v>15.2</v>
      </c>
      <c r="H37" s="104"/>
      <c r="I37" s="104">
        <v>20.3</v>
      </c>
      <c r="J37" s="104"/>
      <c r="K37" s="104">
        <v>17.600000000000001</v>
      </c>
      <c r="L37" s="104">
        <v>17.899999999999999</v>
      </c>
      <c r="O37" s="17"/>
    </row>
    <row r="38" spans="1:15">
      <c r="A38" s="12" t="s">
        <v>44</v>
      </c>
      <c r="B38" s="13" t="s">
        <v>151</v>
      </c>
      <c r="C38" s="13" t="s">
        <v>44</v>
      </c>
      <c r="D38" s="1" t="s">
        <v>44</v>
      </c>
      <c r="E38" s="7" t="s">
        <v>6</v>
      </c>
      <c r="F38" s="104"/>
      <c r="G38" s="104"/>
      <c r="H38" s="104">
        <v>12</v>
      </c>
      <c r="I38" s="104">
        <v>10.8</v>
      </c>
      <c r="J38" s="104"/>
      <c r="K38" s="104"/>
      <c r="L38" s="104"/>
      <c r="O38" s="17"/>
    </row>
    <row r="39" spans="1:15">
      <c r="A39" s="12" t="s">
        <v>40</v>
      </c>
      <c r="B39" s="13" t="s">
        <v>151</v>
      </c>
      <c r="C39" s="13" t="s">
        <v>39</v>
      </c>
      <c r="D39" s="1" t="s">
        <v>39</v>
      </c>
      <c r="E39" s="7" t="s">
        <v>6</v>
      </c>
      <c r="F39" s="104">
        <v>14.5</v>
      </c>
      <c r="G39" s="104">
        <v>13.9</v>
      </c>
      <c r="H39" s="104">
        <v>13.7</v>
      </c>
      <c r="I39" s="104">
        <v>13.9</v>
      </c>
      <c r="J39" s="104">
        <v>13.6</v>
      </c>
      <c r="K39" s="104">
        <v>10.4</v>
      </c>
      <c r="L39" s="104">
        <v>10.1</v>
      </c>
      <c r="O39" s="12"/>
    </row>
    <row r="40" spans="1:15">
      <c r="A40" s="12" t="s">
        <v>48</v>
      </c>
      <c r="B40" s="13" t="s">
        <v>151</v>
      </c>
      <c r="C40" s="13" t="s">
        <v>47</v>
      </c>
      <c r="D40" s="1" t="s">
        <v>47</v>
      </c>
      <c r="E40" s="7" t="s">
        <v>6</v>
      </c>
      <c r="F40" s="104"/>
      <c r="G40" s="104"/>
      <c r="H40" s="104">
        <v>15.9</v>
      </c>
      <c r="I40" s="104">
        <v>12.9</v>
      </c>
      <c r="J40" s="104">
        <v>12.2</v>
      </c>
      <c r="K40" s="104">
        <v>11.6</v>
      </c>
      <c r="L40" s="104">
        <v>12.1</v>
      </c>
    </row>
    <row r="41" spans="1:15">
      <c r="A41" s="12" t="s">
        <v>49</v>
      </c>
      <c r="B41" s="13" t="s">
        <v>151</v>
      </c>
      <c r="C41" s="13" t="s">
        <v>49</v>
      </c>
      <c r="D41" s="1" t="s">
        <v>49</v>
      </c>
      <c r="E41" s="7" t="s">
        <v>6</v>
      </c>
      <c r="F41" s="104">
        <v>11.9</v>
      </c>
      <c r="G41" s="104">
        <v>11.7</v>
      </c>
      <c r="H41" s="104">
        <v>11.1</v>
      </c>
      <c r="I41" s="104">
        <v>11</v>
      </c>
      <c r="J41" s="104">
        <v>10.8</v>
      </c>
      <c r="K41" s="104">
        <v>10.7</v>
      </c>
      <c r="L41" s="104">
        <v>10.1</v>
      </c>
    </row>
    <row r="42" spans="1:15">
      <c r="A42" s="12" t="s">
        <v>50</v>
      </c>
      <c r="B42" s="13" t="s">
        <v>151</v>
      </c>
      <c r="C42" s="13" t="s">
        <v>50</v>
      </c>
      <c r="D42" s="1" t="s">
        <v>50</v>
      </c>
      <c r="E42" s="7" t="s">
        <v>6</v>
      </c>
      <c r="F42" s="104"/>
      <c r="G42" s="104">
        <v>12</v>
      </c>
      <c r="H42" s="104">
        <v>11.4</v>
      </c>
      <c r="I42" s="104">
        <v>12.1</v>
      </c>
      <c r="J42" s="104">
        <v>11.2</v>
      </c>
      <c r="K42" s="104">
        <v>11.1</v>
      </c>
      <c r="L42" s="104">
        <v>10.1</v>
      </c>
    </row>
    <row r="43" spans="1:15">
      <c r="A43" s="12" t="s">
        <v>46</v>
      </c>
      <c r="B43" s="13" t="s">
        <v>151</v>
      </c>
      <c r="C43" s="13" t="s">
        <v>45</v>
      </c>
      <c r="D43" s="1" t="s">
        <v>46</v>
      </c>
      <c r="E43" s="7" t="s">
        <v>6</v>
      </c>
      <c r="F43" s="104">
        <v>15.4</v>
      </c>
      <c r="G43" s="104">
        <v>14.5</v>
      </c>
      <c r="H43" s="104">
        <v>14.7</v>
      </c>
      <c r="I43" s="104">
        <v>13.5</v>
      </c>
      <c r="J43" s="104">
        <v>13.2</v>
      </c>
      <c r="K43" s="104">
        <v>13</v>
      </c>
      <c r="L43" s="104">
        <v>14</v>
      </c>
    </row>
    <row r="44" spans="1:15">
      <c r="A44" s="12" t="s">
        <v>42</v>
      </c>
      <c r="B44" s="13" t="s">
        <v>151</v>
      </c>
      <c r="C44" s="13" t="s">
        <v>41</v>
      </c>
      <c r="D44" s="1" t="s">
        <v>43</v>
      </c>
      <c r="E44" s="7" t="s">
        <v>6</v>
      </c>
      <c r="F44" s="104">
        <v>14.8</v>
      </c>
      <c r="G44" s="104">
        <v>13.6</v>
      </c>
      <c r="H44" s="104">
        <v>14.2</v>
      </c>
      <c r="I44" s="104">
        <v>12.7</v>
      </c>
      <c r="J44" s="104">
        <v>12.7</v>
      </c>
      <c r="K44" s="104">
        <v>13</v>
      </c>
      <c r="L44" s="104">
        <v>12.9</v>
      </c>
    </row>
    <row r="45" spans="1:15">
      <c r="A45" s="12" t="s">
        <v>54</v>
      </c>
      <c r="B45" s="13" t="s">
        <v>152</v>
      </c>
      <c r="C45" s="13" t="s">
        <v>53</v>
      </c>
      <c r="D45" s="1" t="s">
        <v>53</v>
      </c>
      <c r="E45" s="1" t="s">
        <v>6</v>
      </c>
      <c r="F45" s="104">
        <v>19.8</v>
      </c>
      <c r="G45" s="104">
        <v>17.8</v>
      </c>
      <c r="H45" s="104">
        <v>19.3</v>
      </c>
      <c r="I45" s="104">
        <v>17.600000000000001</v>
      </c>
      <c r="J45" s="104">
        <v>17.100000000000001</v>
      </c>
      <c r="K45" s="104">
        <v>16.5</v>
      </c>
      <c r="L45" s="104">
        <v>15.3</v>
      </c>
    </row>
    <row r="46" spans="1:15">
      <c r="A46" s="12" t="s">
        <v>52</v>
      </c>
      <c r="B46" s="13" t="s">
        <v>152</v>
      </c>
      <c r="C46" s="13" t="s">
        <v>51</v>
      </c>
      <c r="D46" s="1" t="s">
        <v>51</v>
      </c>
      <c r="E46" s="1" t="s">
        <v>6</v>
      </c>
      <c r="F46" s="104">
        <v>15.6</v>
      </c>
      <c r="G46" s="104">
        <v>16.3</v>
      </c>
      <c r="H46" s="104">
        <v>16.3</v>
      </c>
      <c r="I46" s="104">
        <v>15.6</v>
      </c>
      <c r="J46" s="104">
        <v>14.9</v>
      </c>
      <c r="K46" s="104">
        <v>14.7</v>
      </c>
      <c r="L46" s="104">
        <v>13.7</v>
      </c>
    </row>
    <row r="47" spans="1:15">
      <c r="A47" s="12" t="s">
        <v>128</v>
      </c>
      <c r="B47" s="10" t="s">
        <v>152</v>
      </c>
      <c r="C47" s="1" t="s">
        <v>127</v>
      </c>
      <c r="D47" s="1" t="s">
        <v>128</v>
      </c>
      <c r="E47" s="7" t="s">
        <v>6</v>
      </c>
      <c r="F47" s="104">
        <v>23.7</v>
      </c>
      <c r="G47" s="104">
        <v>25.1</v>
      </c>
      <c r="H47" s="104">
        <v>17.3</v>
      </c>
      <c r="I47" s="104">
        <v>15.2</v>
      </c>
      <c r="J47" s="104">
        <v>14.9</v>
      </c>
      <c r="K47" s="104">
        <v>14</v>
      </c>
      <c r="L47" s="104"/>
    </row>
    <row r="48" spans="1:15">
      <c r="A48" s="18" t="s">
        <v>129</v>
      </c>
      <c r="B48" s="2" t="s">
        <v>153</v>
      </c>
      <c r="C48" s="3" t="s">
        <v>129</v>
      </c>
      <c r="D48" s="1" t="s">
        <v>129</v>
      </c>
      <c r="E48" s="1" t="s">
        <v>6</v>
      </c>
      <c r="F48" s="104">
        <v>12.5</v>
      </c>
      <c r="G48" s="104">
        <v>12.8</v>
      </c>
      <c r="H48" s="104">
        <v>12.9</v>
      </c>
      <c r="I48" s="104"/>
      <c r="J48" s="104"/>
      <c r="K48" s="104"/>
      <c r="L48" s="104"/>
    </row>
    <row r="49" spans="1:12">
      <c r="A49" s="17" t="s">
        <v>55</v>
      </c>
      <c r="B49" s="19" t="s">
        <v>153</v>
      </c>
      <c r="C49" s="13" t="s">
        <v>55</v>
      </c>
      <c r="D49" s="1" t="s">
        <v>55</v>
      </c>
      <c r="E49" s="13" t="s">
        <v>6</v>
      </c>
      <c r="F49" s="104"/>
      <c r="G49" s="104">
        <v>12.4</v>
      </c>
      <c r="H49" s="104">
        <v>13.9</v>
      </c>
      <c r="I49" s="104">
        <v>13.8</v>
      </c>
      <c r="J49" s="104">
        <v>11.9</v>
      </c>
      <c r="K49" s="104">
        <v>13</v>
      </c>
      <c r="L49" s="104">
        <v>13.8</v>
      </c>
    </row>
    <row r="50" spans="1:12">
      <c r="A50" s="17" t="s">
        <v>56</v>
      </c>
      <c r="B50" s="19" t="s">
        <v>153</v>
      </c>
      <c r="C50" s="13" t="s">
        <v>56</v>
      </c>
      <c r="D50" s="1" t="s">
        <v>56</v>
      </c>
      <c r="E50" s="13" t="s">
        <v>6</v>
      </c>
      <c r="F50" s="104"/>
      <c r="G50" s="104"/>
      <c r="H50" s="104"/>
      <c r="I50" s="104"/>
      <c r="J50" s="104">
        <v>15.2</v>
      </c>
      <c r="K50" s="104"/>
      <c r="L50" s="104">
        <v>16.7</v>
      </c>
    </row>
    <row r="51" spans="1:12">
      <c r="A51" s="12" t="s">
        <v>58</v>
      </c>
      <c r="B51" s="19" t="s">
        <v>154</v>
      </c>
      <c r="C51" s="13" t="s">
        <v>57</v>
      </c>
      <c r="D51" s="1" t="s">
        <v>59</v>
      </c>
      <c r="E51" s="7" t="s">
        <v>6</v>
      </c>
      <c r="F51" s="104"/>
      <c r="G51" s="104">
        <v>15.2</v>
      </c>
      <c r="H51" s="104">
        <v>16.5</v>
      </c>
      <c r="I51" s="104">
        <v>15.3</v>
      </c>
      <c r="J51" s="104">
        <v>13.9</v>
      </c>
      <c r="K51" s="104">
        <v>15.6</v>
      </c>
      <c r="L51" s="104">
        <v>18.5</v>
      </c>
    </row>
    <row r="52" spans="1:12">
      <c r="A52" s="12" t="s">
        <v>132</v>
      </c>
      <c r="B52" s="11" t="s">
        <v>60</v>
      </c>
      <c r="C52" s="7" t="s">
        <v>60</v>
      </c>
      <c r="D52" s="1" t="s">
        <v>62</v>
      </c>
      <c r="E52" s="1" t="s">
        <v>6</v>
      </c>
      <c r="F52" s="104">
        <v>27.2</v>
      </c>
      <c r="G52" s="104"/>
      <c r="H52" s="104"/>
      <c r="I52" s="104"/>
      <c r="J52" s="104"/>
      <c r="K52" s="104"/>
      <c r="L52" s="104"/>
    </row>
    <row r="53" spans="1:12">
      <c r="A53" s="12" t="s">
        <v>61</v>
      </c>
      <c r="B53" s="13" t="s">
        <v>155</v>
      </c>
      <c r="C53" s="13" t="s">
        <v>60</v>
      </c>
      <c r="D53" s="1" t="s">
        <v>62</v>
      </c>
      <c r="E53" s="7" t="s">
        <v>6</v>
      </c>
      <c r="F53" s="104">
        <v>27.2</v>
      </c>
      <c r="G53" s="104">
        <v>23</v>
      </c>
      <c r="H53" s="104">
        <v>22.1</v>
      </c>
      <c r="I53" s="104">
        <v>21.7</v>
      </c>
      <c r="J53" s="104">
        <v>18.600000000000001</v>
      </c>
      <c r="K53" s="104">
        <v>17.5</v>
      </c>
      <c r="L53" s="104">
        <v>20.2</v>
      </c>
    </row>
    <row r="54" spans="1:12">
      <c r="A54" s="12" t="s">
        <v>63</v>
      </c>
      <c r="B54" s="13" t="s">
        <v>155</v>
      </c>
      <c r="C54" s="13" t="s">
        <v>60</v>
      </c>
      <c r="D54" s="1" t="s">
        <v>64</v>
      </c>
      <c r="E54" s="7" t="s">
        <v>6</v>
      </c>
      <c r="F54" s="104">
        <v>24.8</v>
      </c>
      <c r="G54" s="104">
        <v>21.8</v>
      </c>
      <c r="H54" s="104">
        <v>21.3</v>
      </c>
      <c r="I54" s="104">
        <v>22.3</v>
      </c>
      <c r="J54" s="104">
        <v>18.3</v>
      </c>
      <c r="K54" s="104">
        <v>18</v>
      </c>
      <c r="L54" s="104">
        <v>18.8</v>
      </c>
    </row>
    <row r="55" spans="1:12">
      <c r="A55" s="12" t="s">
        <v>65</v>
      </c>
      <c r="B55" s="13" t="s">
        <v>156</v>
      </c>
      <c r="C55" s="13" t="s">
        <v>65</v>
      </c>
      <c r="D55" s="1" t="s">
        <v>65</v>
      </c>
      <c r="E55" s="7" t="s">
        <v>66</v>
      </c>
      <c r="F55" s="104"/>
      <c r="G55" s="104">
        <v>6</v>
      </c>
      <c r="H55" s="104">
        <v>6</v>
      </c>
      <c r="I55" s="104"/>
      <c r="J55" s="104"/>
      <c r="K55" s="104"/>
      <c r="L55" s="104"/>
    </row>
    <row r="56" spans="1:12">
      <c r="A56" s="12" t="s">
        <v>68</v>
      </c>
      <c r="B56" s="13" t="s">
        <v>156</v>
      </c>
      <c r="C56" s="13" t="s">
        <v>67</v>
      </c>
      <c r="D56" s="1" t="s">
        <v>67</v>
      </c>
      <c r="E56" s="7" t="s">
        <v>6</v>
      </c>
      <c r="F56" s="104"/>
      <c r="G56" s="104"/>
      <c r="H56" s="104">
        <v>14</v>
      </c>
      <c r="I56" s="104">
        <v>13.6</v>
      </c>
      <c r="J56" s="104">
        <v>13.5</v>
      </c>
      <c r="K56" s="104">
        <v>14.7</v>
      </c>
      <c r="L56" s="104">
        <v>15</v>
      </c>
    </row>
    <row r="57" spans="1:12">
      <c r="A57" s="12" t="s">
        <v>134</v>
      </c>
      <c r="B57" s="10" t="s">
        <v>157</v>
      </c>
      <c r="C57" s="1" t="s">
        <v>134</v>
      </c>
      <c r="D57" s="1" t="s">
        <v>134</v>
      </c>
      <c r="E57" s="7" t="s">
        <v>6</v>
      </c>
      <c r="F57" s="104"/>
      <c r="G57" s="104"/>
      <c r="H57" s="104">
        <v>24.9</v>
      </c>
      <c r="I57" s="104">
        <v>22.4</v>
      </c>
      <c r="J57" s="104"/>
      <c r="K57" s="104"/>
      <c r="L57" s="104"/>
    </row>
    <row r="58" spans="1:12">
      <c r="A58" s="12" t="s">
        <v>135</v>
      </c>
      <c r="B58" s="7" t="s">
        <v>157</v>
      </c>
      <c r="C58" s="7" t="s">
        <v>135</v>
      </c>
      <c r="D58" s="1" t="s">
        <v>135</v>
      </c>
      <c r="E58" s="7" t="s">
        <v>6</v>
      </c>
      <c r="F58" s="104"/>
      <c r="G58" s="104"/>
      <c r="H58" s="104"/>
      <c r="I58" s="104"/>
      <c r="J58" s="104">
        <v>19.3</v>
      </c>
      <c r="K58" s="104"/>
      <c r="L58" s="104"/>
    </row>
    <row r="59" spans="1:12">
      <c r="A59" s="3" t="s">
        <v>136</v>
      </c>
      <c r="B59" s="5" t="s">
        <v>157</v>
      </c>
      <c r="C59" s="4" t="s">
        <v>136</v>
      </c>
      <c r="D59" s="1" t="s">
        <v>136</v>
      </c>
      <c r="E59" s="7" t="s">
        <v>6</v>
      </c>
      <c r="F59" s="104"/>
      <c r="G59" s="104"/>
      <c r="H59" s="104"/>
      <c r="I59" s="104">
        <v>16.8</v>
      </c>
      <c r="J59" s="104"/>
      <c r="K59" s="104"/>
      <c r="L59" s="104"/>
    </row>
    <row r="60" spans="1:12">
      <c r="A60" s="12" t="s">
        <v>137</v>
      </c>
      <c r="B60" s="10" t="s">
        <v>157</v>
      </c>
      <c r="C60" s="1" t="s">
        <v>137</v>
      </c>
      <c r="D60" s="1" t="s">
        <v>137</v>
      </c>
      <c r="E60" s="7" t="s">
        <v>6</v>
      </c>
      <c r="F60" s="104"/>
      <c r="G60" s="104"/>
      <c r="H60" s="104">
        <v>19.600000000000001</v>
      </c>
      <c r="I60" s="104">
        <v>17.2</v>
      </c>
      <c r="J60" s="104"/>
      <c r="K60" s="104"/>
      <c r="L60" s="104"/>
    </row>
    <row r="61" spans="1:12">
      <c r="A61" s="12" t="s">
        <v>138</v>
      </c>
      <c r="B61" s="7" t="s">
        <v>157</v>
      </c>
      <c r="C61" s="7" t="s">
        <v>138</v>
      </c>
      <c r="D61" s="1" t="s">
        <v>138</v>
      </c>
      <c r="E61" s="7" t="s">
        <v>6</v>
      </c>
      <c r="F61" s="104"/>
      <c r="G61" s="104">
        <v>19.899999999999999</v>
      </c>
      <c r="H61" s="104">
        <v>23.8</v>
      </c>
      <c r="I61" s="104">
        <v>20.3</v>
      </c>
      <c r="J61" s="104">
        <v>24.7</v>
      </c>
      <c r="K61" s="104">
        <v>25.1</v>
      </c>
      <c r="L61" s="104">
        <v>18.100000000000001</v>
      </c>
    </row>
    <row r="62" spans="1:12">
      <c r="A62" s="12" t="s">
        <v>139</v>
      </c>
      <c r="B62" s="7" t="s">
        <v>157</v>
      </c>
      <c r="C62" s="7" t="s">
        <v>139</v>
      </c>
      <c r="D62" s="1" t="s">
        <v>139</v>
      </c>
      <c r="E62" s="7" t="s">
        <v>6</v>
      </c>
      <c r="F62" s="104"/>
      <c r="G62" s="104"/>
      <c r="H62" s="104"/>
      <c r="I62" s="104">
        <v>24.6</v>
      </c>
      <c r="J62" s="104"/>
      <c r="K62" s="104"/>
      <c r="L62" s="104"/>
    </row>
    <row r="63" spans="1:12">
      <c r="A63" s="12" t="s">
        <v>140</v>
      </c>
      <c r="B63" s="7" t="s">
        <v>157</v>
      </c>
      <c r="C63" s="7" t="s">
        <v>140</v>
      </c>
      <c r="D63" s="1" t="s">
        <v>140</v>
      </c>
      <c r="E63" s="7" t="s">
        <v>6</v>
      </c>
      <c r="F63" s="104"/>
      <c r="G63" s="104"/>
      <c r="H63" s="104">
        <v>17.600000000000001</v>
      </c>
      <c r="I63" s="104">
        <v>18.7</v>
      </c>
      <c r="J63" s="104"/>
      <c r="K63" s="104"/>
      <c r="L63" s="104"/>
    </row>
    <row r="64" spans="1:12">
      <c r="A64" s="12" t="s">
        <v>70</v>
      </c>
      <c r="B64" s="13" t="s">
        <v>158</v>
      </c>
      <c r="C64" s="13" t="s">
        <v>69</v>
      </c>
      <c r="D64" s="1" t="s">
        <v>70</v>
      </c>
      <c r="E64" s="7" t="s">
        <v>6</v>
      </c>
      <c r="F64" s="104">
        <v>22.2</v>
      </c>
      <c r="G64" s="104">
        <v>18.899999999999999</v>
      </c>
      <c r="H64" s="104">
        <v>28.5</v>
      </c>
      <c r="I64" s="104">
        <v>23.2</v>
      </c>
      <c r="J64" s="104">
        <v>23.8</v>
      </c>
      <c r="K64" s="104">
        <v>24.3</v>
      </c>
      <c r="L64" s="104">
        <v>21.8</v>
      </c>
    </row>
    <row r="65" spans="1:12">
      <c r="A65" s="12" t="s">
        <v>72</v>
      </c>
      <c r="B65" s="13" t="s">
        <v>158</v>
      </c>
      <c r="C65" s="13" t="s">
        <v>71</v>
      </c>
      <c r="D65" s="1" t="s">
        <v>72</v>
      </c>
      <c r="E65" s="7" t="s">
        <v>73</v>
      </c>
      <c r="F65" s="104"/>
      <c r="G65" s="104"/>
      <c r="H65" s="104"/>
      <c r="I65" s="104"/>
      <c r="J65" s="104"/>
      <c r="K65" s="104">
        <v>17.100000000000001</v>
      </c>
      <c r="L65" s="104"/>
    </row>
    <row r="66" spans="1:12">
      <c r="A66" s="12" t="s">
        <v>23</v>
      </c>
      <c r="B66" s="13" t="s">
        <v>149</v>
      </c>
      <c r="C66" s="13" t="s">
        <v>23</v>
      </c>
      <c r="D66" s="1" t="s">
        <v>23</v>
      </c>
      <c r="E66" s="7" t="s">
        <v>6</v>
      </c>
      <c r="F66" s="104"/>
      <c r="G66" s="104">
        <v>17.899999999999999</v>
      </c>
      <c r="H66" s="104">
        <v>20</v>
      </c>
      <c r="I66" s="104">
        <v>18.100000000000001</v>
      </c>
      <c r="J66" s="104">
        <v>22.4</v>
      </c>
      <c r="K66" s="104">
        <v>20.5</v>
      </c>
      <c r="L66" s="104">
        <v>22.6</v>
      </c>
    </row>
    <row r="67" spans="1:12">
      <c r="A67" s="12" t="s">
        <v>25</v>
      </c>
      <c r="B67" s="13" t="s">
        <v>149</v>
      </c>
      <c r="C67" s="13" t="s">
        <v>24</v>
      </c>
      <c r="D67" s="1" t="s">
        <v>26</v>
      </c>
      <c r="E67" s="7" t="s">
        <v>6</v>
      </c>
      <c r="F67" s="104"/>
      <c r="G67" s="104"/>
      <c r="H67" s="104"/>
      <c r="I67" s="104">
        <v>21.7</v>
      </c>
      <c r="J67" s="104">
        <v>24.1</v>
      </c>
      <c r="K67" s="104">
        <v>21.8</v>
      </c>
      <c r="L67" s="104">
        <v>23.6</v>
      </c>
    </row>
    <row r="68" spans="1:12">
      <c r="A68" s="12" t="s">
        <v>118</v>
      </c>
      <c r="B68" s="13" t="s">
        <v>149</v>
      </c>
      <c r="C68" s="7" t="s">
        <v>118</v>
      </c>
      <c r="D68" s="1" t="s">
        <v>118</v>
      </c>
      <c r="E68" s="1" t="s">
        <v>6</v>
      </c>
      <c r="F68" s="104"/>
      <c r="G68" s="104"/>
      <c r="H68" s="104"/>
      <c r="I68" s="104"/>
      <c r="J68" s="104"/>
      <c r="K68" s="104">
        <v>6.4</v>
      </c>
      <c r="L68" s="104">
        <v>5.6</v>
      </c>
    </row>
    <row r="69" spans="1:12">
      <c r="A69" s="3" t="s">
        <v>75</v>
      </c>
      <c r="B69" s="13" t="s">
        <v>159</v>
      </c>
      <c r="C69" s="13" t="s">
        <v>74</v>
      </c>
      <c r="D69" s="1" t="s">
        <v>74</v>
      </c>
      <c r="E69" s="4" t="s">
        <v>6</v>
      </c>
      <c r="F69" s="104">
        <v>23.7</v>
      </c>
      <c r="G69" s="104">
        <v>21.2</v>
      </c>
      <c r="H69" s="104">
        <v>21</v>
      </c>
      <c r="I69" s="104">
        <v>22.7</v>
      </c>
      <c r="J69" s="104">
        <v>20.3</v>
      </c>
      <c r="K69" s="104">
        <v>18.600000000000001</v>
      </c>
      <c r="L69" s="104">
        <v>19.899999999999999</v>
      </c>
    </row>
    <row r="70" spans="1:12">
      <c r="A70" s="3" t="s">
        <v>30</v>
      </c>
      <c r="B70" s="19" t="s">
        <v>150</v>
      </c>
      <c r="C70" s="14" t="s">
        <v>29</v>
      </c>
      <c r="D70" s="1" t="s">
        <v>29</v>
      </c>
      <c r="E70" s="4" t="s">
        <v>31</v>
      </c>
      <c r="F70" s="104">
        <v>16.5</v>
      </c>
      <c r="G70" s="104">
        <v>14.7</v>
      </c>
      <c r="H70" s="104">
        <v>15.3</v>
      </c>
      <c r="I70" s="104">
        <v>14.2</v>
      </c>
      <c r="J70" s="104">
        <v>13.1</v>
      </c>
      <c r="K70" s="104">
        <v>14</v>
      </c>
      <c r="L70" s="104">
        <v>13.4</v>
      </c>
    </row>
    <row r="71" spans="1:12">
      <c r="A71" s="12" t="s">
        <v>122</v>
      </c>
      <c r="B71" s="11" t="s">
        <v>150</v>
      </c>
      <c r="C71" s="7" t="s">
        <v>121</v>
      </c>
      <c r="E71" s="7" t="s">
        <v>6</v>
      </c>
      <c r="F71" s="104">
        <v>12.5</v>
      </c>
      <c r="G71" s="104">
        <v>12.6</v>
      </c>
      <c r="H71" s="104">
        <v>14.6</v>
      </c>
      <c r="I71" s="104">
        <v>12.6</v>
      </c>
      <c r="J71" s="104">
        <v>12.1</v>
      </c>
      <c r="K71" s="104">
        <v>12</v>
      </c>
      <c r="L71" s="104">
        <v>11.4</v>
      </c>
    </row>
    <row r="72" spans="1:12">
      <c r="A72" s="12" t="s">
        <v>123</v>
      </c>
      <c r="B72" s="11" t="s">
        <v>150</v>
      </c>
      <c r="C72" s="7" t="s">
        <v>121</v>
      </c>
      <c r="D72" s="1" t="s">
        <v>121</v>
      </c>
      <c r="E72" s="7" t="s">
        <v>6</v>
      </c>
      <c r="F72" s="104"/>
      <c r="G72" s="104">
        <v>14.7</v>
      </c>
      <c r="H72" s="104">
        <v>15.5</v>
      </c>
      <c r="I72" s="104">
        <v>14.9</v>
      </c>
      <c r="J72" s="104">
        <v>13.4</v>
      </c>
      <c r="K72" s="104">
        <v>12.7</v>
      </c>
      <c r="L72" s="104"/>
    </row>
    <row r="73" spans="1:12">
      <c r="A73" s="12" t="s">
        <v>124</v>
      </c>
      <c r="B73" s="11" t="s">
        <v>150</v>
      </c>
      <c r="C73" s="7" t="s">
        <v>84</v>
      </c>
      <c r="E73" s="7" t="s">
        <v>6</v>
      </c>
      <c r="F73" s="104">
        <v>11</v>
      </c>
      <c r="G73" s="104">
        <v>11.9</v>
      </c>
      <c r="H73" s="104">
        <v>13.8</v>
      </c>
      <c r="I73" s="104">
        <v>11.6</v>
      </c>
      <c r="J73" s="104">
        <v>10.3</v>
      </c>
      <c r="K73" s="104">
        <v>10.5</v>
      </c>
      <c r="L73" s="104"/>
    </row>
    <row r="74" spans="1:12">
      <c r="A74" s="12" t="s">
        <v>125</v>
      </c>
      <c r="B74" s="11" t="s">
        <v>150</v>
      </c>
      <c r="C74" s="7" t="s">
        <v>84</v>
      </c>
      <c r="E74" s="7" t="s">
        <v>6</v>
      </c>
      <c r="F74" s="104"/>
      <c r="G74" s="104">
        <v>11</v>
      </c>
      <c r="H74" s="104">
        <v>12.7</v>
      </c>
      <c r="I74" s="104">
        <v>11</v>
      </c>
      <c r="J74" s="104">
        <v>9.6999999999999993</v>
      </c>
      <c r="K74" s="104">
        <v>10.5</v>
      </c>
      <c r="L74" s="104"/>
    </row>
    <row r="75" spans="1:12">
      <c r="A75" s="12" t="s">
        <v>27</v>
      </c>
      <c r="B75" s="19" t="s">
        <v>150</v>
      </c>
      <c r="C75" s="14" t="s">
        <v>27</v>
      </c>
      <c r="D75" s="1" t="s">
        <v>27</v>
      </c>
      <c r="E75" s="7" t="s">
        <v>6</v>
      </c>
      <c r="F75" s="104">
        <v>13.1</v>
      </c>
      <c r="G75" s="104">
        <v>12.6</v>
      </c>
      <c r="H75" s="104">
        <v>15.2</v>
      </c>
      <c r="I75" s="104">
        <v>12.9</v>
      </c>
      <c r="J75" s="104">
        <v>12.7</v>
      </c>
      <c r="K75" s="104">
        <v>12</v>
      </c>
      <c r="L75" s="104">
        <v>12.5</v>
      </c>
    </row>
    <row r="76" spans="1:12">
      <c r="A76" s="15" t="s">
        <v>28</v>
      </c>
      <c r="B76" s="19" t="s">
        <v>150</v>
      </c>
      <c r="C76" s="6" t="s">
        <v>28</v>
      </c>
      <c r="D76" s="1" t="s">
        <v>28</v>
      </c>
      <c r="E76" s="6" t="s">
        <v>6</v>
      </c>
      <c r="F76" s="104"/>
      <c r="G76" s="104"/>
      <c r="H76" s="104">
        <v>14.6</v>
      </c>
      <c r="I76" s="104">
        <v>13.3</v>
      </c>
      <c r="J76" s="104">
        <v>13.1</v>
      </c>
      <c r="K76" s="104">
        <v>13</v>
      </c>
      <c r="L76" s="104">
        <v>13.1</v>
      </c>
    </row>
    <row r="77" spans="1:12">
      <c r="A77" s="16" t="s">
        <v>32</v>
      </c>
      <c r="B77" s="19" t="s">
        <v>150</v>
      </c>
      <c r="C77" s="14" t="s">
        <v>32</v>
      </c>
      <c r="D77" s="1" t="s">
        <v>32</v>
      </c>
      <c r="E77" s="14" t="s">
        <v>6</v>
      </c>
      <c r="F77" s="104"/>
      <c r="G77" s="104">
        <v>15.1</v>
      </c>
      <c r="H77" s="104">
        <v>17</v>
      </c>
      <c r="I77" s="104">
        <v>14.4</v>
      </c>
      <c r="J77" s="104">
        <v>14.2</v>
      </c>
      <c r="K77" s="104">
        <v>13</v>
      </c>
      <c r="L77" s="104">
        <v>11.9</v>
      </c>
    </row>
    <row r="78" spans="1:12">
      <c r="A78" s="17" t="s">
        <v>33</v>
      </c>
      <c r="B78" s="19" t="s">
        <v>150</v>
      </c>
      <c r="C78" s="14" t="s">
        <v>33</v>
      </c>
      <c r="D78" s="1" t="s">
        <v>33</v>
      </c>
      <c r="E78" s="13" t="s">
        <v>6</v>
      </c>
      <c r="F78" s="104">
        <v>20.399999999999999</v>
      </c>
      <c r="G78" s="104">
        <v>15.4</v>
      </c>
      <c r="H78" s="104">
        <v>16.7</v>
      </c>
      <c r="I78" s="104">
        <v>14.7</v>
      </c>
      <c r="J78" s="104">
        <v>14.3</v>
      </c>
      <c r="K78" s="104">
        <v>15</v>
      </c>
      <c r="L78" s="104">
        <v>12.9</v>
      </c>
    </row>
    <row r="79" spans="1:12">
      <c r="A79" s="12" t="s">
        <v>34</v>
      </c>
      <c r="B79" s="19" t="s">
        <v>150</v>
      </c>
      <c r="C79" s="14" t="s">
        <v>34</v>
      </c>
      <c r="D79" s="1" t="s">
        <v>34</v>
      </c>
      <c r="E79" s="7" t="s">
        <v>6</v>
      </c>
      <c r="F79" s="104">
        <v>17.7</v>
      </c>
      <c r="G79" s="104">
        <v>17.899999999999999</v>
      </c>
      <c r="H79" s="104">
        <v>18.2</v>
      </c>
      <c r="I79" s="104">
        <v>16.8</v>
      </c>
      <c r="J79" s="104">
        <v>16.100000000000001</v>
      </c>
      <c r="K79" s="104">
        <v>15</v>
      </c>
      <c r="L79" s="104">
        <v>16.399999999999999</v>
      </c>
    </row>
    <row r="80" spans="1:12">
      <c r="A80" s="12" t="s">
        <v>35</v>
      </c>
      <c r="B80" s="19" t="s">
        <v>150</v>
      </c>
      <c r="C80" s="14" t="s">
        <v>35</v>
      </c>
      <c r="D80" s="1" t="s">
        <v>35</v>
      </c>
      <c r="E80" s="7" t="s">
        <v>6</v>
      </c>
      <c r="F80" s="104">
        <v>18.600000000000001</v>
      </c>
      <c r="G80" s="104">
        <v>16.3</v>
      </c>
      <c r="H80" s="104">
        <v>16.5</v>
      </c>
      <c r="I80" s="104">
        <v>17.600000000000001</v>
      </c>
      <c r="J80" s="104">
        <v>18</v>
      </c>
      <c r="K80" s="104">
        <v>18</v>
      </c>
      <c r="L80" s="104">
        <v>17.2</v>
      </c>
    </row>
    <row r="81" spans="1:12">
      <c r="A81" s="12" t="s">
        <v>36</v>
      </c>
      <c r="B81" s="19" t="s">
        <v>150</v>
      </c>
      <c r="C81" s="5" t="s">
        <v>36</v>
      </c>
      <c r="D81" s="1" t="s">
        <v>36</v>
      </c>
      <c r="E81" s="7" t="s">
        <v>6</v>
      </c>
      <c r="F81" s="104"/>
      <c r="G81" s="104"/>
      <c r="H81" s="104"/>
      <c r="I81" s="104">
        <v>9.8000000000000007</v>
      </c>
      <c r="J81" s="104">
        <v>10.8</v>
      </c>
      <c r="K81" s="104">
        <v>10</v>
      </c>
      <c r="L81" s="104">
        <v>10</v>
      </c>
    </row>
    <row r="82" spans="1:12">
      <c r="A82" s="12" t="s">
        <v>37</v>
      </c>
      <c r="B82" s="19" t="s">
        <v>150</v>
      </c>
      <c r="C82" s="5" t="s">
        <v>37</v>
      </c>
      <c r="D82" s="1" t="s">
        <v>37</v>
      </c>
      <c r="E82" s="7" t="s">
        <v>38</v>
      </c>
      <c r="F82" s="104"/>
      <c r="G82" s="104"/>
      <c r="H82" s="104">
        <v>11.8</v>
      </c>
      <c r="I82" s="104">
        <v>12.1</v>
      </c>
      <c r="J82" s="104">
        <v>12.3</v>
      </c>
      <c r="K82" s="104">
        <v>13</v>
      </c>
      <c r="L82" s="104"/>
    </row>
    <row r="83" spans="1:12">
      <c r="A83" s="12" t="s">
        <v>76</v>
      </c>
      <c r="B83" s="19" t="s">
        <v>160</v>
      </c>
      <c r="C83" s="13" t="s">
        <v>76</v>
      </c>
      <c r="D83" s="1" t="s">
        <v>76</v>
      </c>
      <c r="E83" s="7" t="s">
        <v>6</v>
      </c>
      <c r="F83" s="104"/>
      <c r="G83" s="104">
        <v>21.7</v>
      </c>
      <c r="H83" s="104">
        <v>21.7</v>
      </c>
      <c r="I83" s="104">
        <v>20.2</v>
      </c>
      <c r="J83" s="104">
        <v>23.5</v>
      </c>
      <c r="K83" s="104">
        <v>18.5</v>
      </c>
      <c r="L83" s="104"/>
    </row>
    <row r="84" spans="1:12">
      <c r="E84" s="7" t="s">
        <v>263</v>
      </c>
      <c r="F84" s="12">
        <f>COUNT(F3:F83)</f>
        <v>39</v>
      </c>
      <c r="G84" s="12">
        <f>COUNT(G3:G83)</f>
        <v>54</v>
      </c>
      <c r="H84" s="12">
        <f>COUNT(H3:H83)</f>
        <v>63</v>
      </c>
      <c r="I84" s="12">
        <f>COUNT(I3:I83)</f>
        <v>69</v>
      </c>
      <c r="J84" s="12">
        <f>COUNT(J3:J83)</f>
        <v>64</v>
      </c>
      <c r="K84" s="12">
        <f>COUNT(K3:K83)</f>
        <v>63</v>
      </c>
      <c r="L84" s="12">
        <f>COUNT(L3:L83)</f>
        <v>55</v>
      </c>
    </row>
    <row r="85" spans="1:12">
      <c r="F85" s="103"/>
      <c r="G85" s="103"/>
      <c r="H85" s="103"/>
      <c r="I85" s="103"/>
      <c r="J85" s="103"/>
      <c r="K85" s="103"/>
      <c r="L85" s="103"/>
    </row>
    <row r="86" spans="1:12">
      <c r="F86" s="103"/>
      <c r="G86" s="103"/>
      <c r="H86" s="103"/>
      <c r="I86" s="103"/>
      <c r="J86" s="103"/>
      <c r="K86" s="103"/>
      <c r="L86" s="103"/>
    </row>
  </sheetData>
  <sortState ref="A2:S88">
    <sortCondition ref="B2:B88"/>
    <sortCondition ref="C2:C88"/>
  </sortState>
  <customSheetViews>
    <customSheetView guid="{49FAD1FC-B127-4C82-8D4A-0275FF7C3CEE}">
      <pane xSplit="3" ySplit="2" topLeftCell="D3" activePane="bottomRight" state="frozen"/>
      <selection pane="bottomRight"/>
      <pageMargins left="0.7" right="0.7" top="0.75" bottom="0.75" header="0.3" footer="0.3"/>
    </customSheetView>
    <customSheetView guid="{928159B0-05E8-465E-A540-962C8FD8BCB1}" showPageBreaks="1">
      <pane xSplit="3" ySplit="2" topLeftCell="D3" activePane="bottomRight" state="frozen"/>
      <selection pane="bottomRight"/>
      <pageMargins left="0.7" right="0.7" top="0.75" bottom="0.75" header="0.3" footer="0.3"/>
    </customSheetView>
    <customSheetView guid="{F250E2F8-6B86-456F-B514-F3BFB5AE941A}">
      <pane xSplit="3" ySplit="2" topLeftCell="F3" activePane="bottomRight" state="frozen"/>
      <selection pane="bottomRight" activeCell="F2" sqref="F2"/>
      <pageMargins left="0.7" right="0.7" top="0.75" bottom="0.75" header="0.3" footer="0.3"/>
    </customSheetView>
    <customSheetView guid="{7DDE176A-57E3-4883-B650-6417AB131A8F}">
      <pane xSplit="3" ySplit="2" topLeftCell="F3" activePane="bottomRight" state="frozen"/>
      <selection pane="bottomRight" activeCell="F2" sqref="F2"/>
      <pageMargins left="0.7" right="0.7" top="0.75" bottom="0.75" header="0.3" footer="0.3"/>
    </customSheetView>
  </customSheetViews>
  <conditionalFormatting sqref="A4:A11 E3:E11 E84">
    <cfRule type="cellIs" dxfId="3" priority="3" operator="equal">
      <formula>"unclear"</formula>
    </cfRule>
  </conditionalFormatting>
  <conditionalFormatting sqref="A3">
    <cfRule type="cellIs" dxfId="2" priority="1" operator="equal">
      <formula>"unclear"</formula>
    </cfRule>
  </conditionalFormatting>
  <hyperlinks>
    <hyperlink ref="C70" r:id="rId1" display="http://www.mfe.govt.nz/environmental-reporting/air/air-quality/pm10/nes/waikato/hamilton.html"/>
    <hyperlink ref="C75" r:id="rId2" display="http://www.mfe.govt.nz/environmental-reporting/air/air-quality/pm10/nes/waikato/matamata.html"/>
    <hyperlink ref="C77" r:id="rId3" display="http://www.mfe.govt.nz/environmental-reporting/air/air-quality/pm10/nes/waikato/putaruru.html"/>
    <hyperlink ref="C78" r:id="rId4" display="http://www.mfe.govt.nz/environmental-reporting/air/air-quality/pm10/nes/waikato/taupo.html"/>
    <hyperlink ref="C79" r:id="rId5" display="http://www.mfe.govt.nz/environmental-reporting/air/air-quality/pm10/nes/waikato/te-kuiti.html"/>
    <hyperlink ref="C80" r:id="rId6" display="http://www.mfe.govt.nz/environmental-reporting/air/air-quality/pm10/nes/waikato/tokoroa.html"/>
    <hyperlink ref="A77" r:id="rId7" display="http://www.mfe.govt.nz/environmental-reporting/air/air-quality/pm10/nes/waikato/putaruru.html"/>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9"/>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5"/>
  <cols>
    <col min="1" max="1" width="19.140625" style="26" bestFit="1" customWidth="1"/>
    <col min="2" max="8" width="10" style="26" customWidth="1"/>
    <col min="9" max="9" width="9.140625" style="34" bestFit="1" customWidth="1"/>
    <col min="10" max="16384" width="9.140625" style="26"/>
  </cols>
  <sheetData>
    <row r="1" spans="1:29" s="149" customFormat="1" ht="21">
      <c r="A1" s="145" t="s">
        <v>269</v>
      </c>
      <c r="B1" s="146"/>
      <c r="C1" s="147"/>
      <c r="D1" s="147"/>
      <c r="E1" s="147"/>
      <c r="F1" s="147"/>
      <c r="G1" s="147"/>
      <c r="H1" s="147"/>
      <c r="I1" s="148"/>
      <c r="J1" s="7"/>
      <c r="K1" s="7"/>
      <c r="L1" s="7"/>
      <c r="M1" s="7"/>
      <c r="N1" s="7"/>
      <c r="O1" s="7"/>
      <c r="P1" s="7"/>
      <c r="Q1" s="7"/>
      <c r="R1" s="7"/>
      <c r="S1" s="7"/>
      <c r="T1" s="7"/>
      <c r="U1" s="7"/>
      <c r="V1" s="7"/>
      <c r="W1" s="7"/>
      <c r="X1" s="7"/>
      <c r="Y1" s="7"/>
      <c r="Z1" s="7"/>
      <c r="AA1" s="7"/>
      <c r="AB1" s="7"/>
      <c r="AC1" s="7"/>
    </row>
    <row r="2" spans="1:29" s="149" customFormat="1">
      <c r="A2" s="7" t="s">
        <v>242</v>
      </c>
      <c r="B2" s="150" t="s">
        <v>270</v>
      </c>
      <c r="C2" s="7"/>
      <c r="D2" s="7"/>
      <c r="E2" s="7"/>
      <c r="F2" s="7"/>
      <c r="G2" s="7"/>
      <c r="H2" s="7"/>
      <c r="I2" s="151"/>
      <c r="J2" s="7"/>
      <c r="K2" s="7"/>
      <c r="L2" s="7"/>
      <c r="M2" s="7"/>
      <c r="N2" s="7"/>
      <c r="O2" s="7"/>
      <c r="P2" s="7"/>
      <c r="Q2" s="7"/>
      <c r="R2" s="7"/>
      <c r="S2" s="7"/>
      <c r="T2" s="7"/>
      <c r="U2" s="7"/>
      <c r="V2" s="7"/>
      <c r="W2" s="7"/>
      <c r="X2" s="7"/>
      <c r="Y2" s="7"/>
      <c r="Z2" s="7"/>
      <c r="AA2" s="7"/>
      <c r="AB2" s="7"/>
      <c r="AC2" s="7"/>
    </row>
    <row r="3" spans="1:29" s="149" customFormat="1">
      <c r="A3" s="152"/>
      <c r="B3" s="153">
        <v>2006</v>
      </c>
      <c r="C3" s="152">
        <v>2007</v>
      </c>
      <c r="D3" s="152">
        <v>2008</v>
      </c>
      <c r="E3" s="152">
        <v>2009</v>
      </c>
      <c r="F3" s="152">
        <v>2010</v>
      </c>
      <c r="G3" s="152">
        <v>2011</v>
      </c>
      <c r="H3" s="152">
        <v>2012</v>
      </c>
      <c r="I3" s="154">
        <v>2013</v>
      </c>
      <c r="J3" s="152" t="s">
        <v>3</v>
      </c>
      <c r="K3" s="7"/>
      <c r="L3" s="7"/>
      <c r="M3" s="7"/>
      <c r="N3" s="7"/>
      <c r="O3" s="7"/>
      <c r="P3" s="7"/>
      <c r="Q3" s="7"/>
      <c r="R3" s="7"/>
      <c r="S3" s="7"/>
      <c r="T3" s="7"/>
      <c r="U3" s="7"/>
      <c r="V3" s="7"/>
      <c r="W3" s="7"/>
      <c r="X3" s="7"/>
      <c r="Y3" s="7"/>
      <c r="Z3" s="7"/>
      <c r="AA3" s="7"/>
      <c r="AB3" s="7"/>
      <c r="AC3" s="7"/>
    </row>
    <row r="4" spans="1:29" s="27" customFormat="1">
      <c r="A4" s="26" t="s">
        <v>10</v>
      </c>
      <c r="B4" s="51">
        <v>1272800</v>
      </c>
      <c r="C4" s="52">
        <v>1294000</v>
      </c>
      <c r="D4" s="52">
        <v>1313100</v>
      </c>
      <c r="E4" s="52">
        <v>1333300</v>
      </c>
      <c r="F4" s="52">
        <v>1354900</v>
      </c>
      <c r="G4" s="52">
        <v>1377100</v>
      </c>
      <c r="H4" s="52">
        <v>1397300</v>
      </c>
      <c r="I4" s="53">
        <v>1418000</v>
      </c>
      <c r="J4" s="26"/>
      <c r="K4" s="26"/>
      <c r="L4" s="26"/>
      <c r="M4" s="26"/>
      <c r="N4" s="26"/>
      <c r="O4" s="26"/>
      <c r="P4" s="26"/>
      <c r="Q4" s="26"/>
      <c r="R4" s="26"/>
      <c r="S4" s="26"/>
      <c r="T4" s="26"/>
      <c r="U4" s="26"/>
      <c r="V4" s="26"/>
      <c r="W4" s="26"/>
      <c r="X4" s="26"/>
      <c r="Y4" s="26"/>
      <c r="Z4" s="26"/>
      <c r="AA4" s="26"/>
      <c r="AB4" s="26"/>
      <c r="AC4" s="26"/>
    </row>
    <row r="5" spans="1:29" s="27" customFormat="1">
      <c r="A5" s="33" t="s">
        <v>4</v>
      </c>
      <c r="B5" s="51">
        <v>321500</v>
      </c>
      <c r="C5" s="52">
        <v>324800</v>
      </c>
      <c r="D5" s="52">
        <v>327700</v>
      </c>
      <c r="E5" s="52">
        <v>330800</v>
      </c>
      <c r="F5" s="52">
        <v>334000</v>
      </c>
      <c r="G5" s="52">
        <v>325700</v>
      </c>
      <c r="H5" s="52">
        <v>321600</v>
      </c>
      <c r="I5" s="53">
        <v>323800</v>
      </c>
      <c r="J5" s="29" t="s">
        <v>246</v>
      </c>
      <c r="K5" s="26"/>
      <c r="L5" s="26"/>
      <c r="M5" s="26"/>
      <c r="N5" s="26"/>
      <c r="O5" s="26"/>
      <c r="P5" s="26"/>
      <c r="Q5" s="26"/>
      <c r="R5" s="26"/>
      <c r="S5" s="26"/>
      <c r="T5" s="26"/>
      <c r="U5" s="26"/>
      <c r="V5" s="26"/>
      <c r="W5" s="26"/>
      <c r="X5" s="26"/>
      <c r="Y5" s="26"/>
      <c r="Z5" s="26"/>
      <c r="AA5" s="26"/>
      <c r="AB5" s="26"/>
      <c r="AC5" s="26"/>
    </row>
    <row r="6" spans="1:29" s="27" customFormat="1">
      <c r="A6" s="33" t="s">
        <v>41</v>
      </c>
      <c r="B6" s="51">
        <v>178700</v>
      </c>
      <c r="C6" s="52">
        <v>181400</v>
      </c>
      <c r="D6" s="52">
        <v>183700</v>
      </c>
      <c r="E6" s="52">
        <v>186300</v>
      </c>
      <c r="F6" s="52">
        <v>188500</v>
      </c>
      <c r="G6" s="52">
        <v>190800</v>
      </c>
      <c r="H6" s="52">
        <v>192900</v>
      </c>
      <c r="I6" s="53">
        <v>194600</v>
      </c>
      <c r="J6" s="29"/>
      <c r="K6" s="33"/>
      <c r="L6" s="31"/>
      <c r="M6" s="26"/>
      <c r="N6" s="26"/>
      <c r="O6" s="26"/>
      <c r="P6" s="26"/>
      <c r="Q6" s="26"/>
      <c r="R6" s="26"/>
      <c r="S6" s="26"/>
      <c r="T6" s="26"/>
      <c r="U6" s="26"/>
      <c r="V6" s="26"/>
      <c r="W6" s="26"/>
      <c r="X6" s="26"/>
      <c r="Y6" s="26"/>
      <c r="Z6" s="26"/>
      <c r="AA6" s="26"/>
      <c r="AB6" s="26"/>
      <c r="AC6" s="26"/>
    </row>
    <row r="7" spans="1:29" s="27" customFormat="1">
      <c r="A7" s="36" t="s">
        <v>39</v>
      </c>
      <c r="B7" s="51">
        <v>64300</v>
      </c>
      <c r="C7" s="52">
        <v>64600</v>
      </c>
      <c r="D7" s="52">
        <v>64700</v>
      </c>
      <c r="E7" s="52">
        <v>65100</v>
      </c>
      <c r="F7" s="52">
        <v>65400</v>
      </c>
      <c r="G7" s="52">
        <v>65500</v>
      </c>
      <c r="H7" s="52">
        <v>65400</v>
      </c>
      <c r="I7" s="53">
        <v>65200</v>
      </c>
      <c r="J7" s="7" t="s">
        <v>247</v>
      </c>
      <c r="K7" s="26"/>
      <c r="L7" s="26"/>
      <c r="M7" s="26"/>
      <c r="N7" s="26"/>
      <c r="O7" s="26"/>
      <c r="P7" s="26"/>
      <c r="Q7" s="26"/>
      <c r="R7" s="26"/>
      <c r="S7" s="26"/>
      <c r="T7" s="26"/>
      <c r="U7" s="26"/>
      <c r="V7" s="26"/>
      <c r="W7" s="26"/>
      <c r="X7" s="26"/>
      <c r="Y7" s="26"/>
      <c r="Z7" s="26"/>
      <c r="AA7" s="26"/>
      <c r="AB7" s="26"/>
      <c r="AC7" s="26"/>
    </row>
    <row r="8" spans="1:29" s="27" customFormat="1">
      <c r="A8" s="36" t="s">
        <v>47</v>
      </c>
      <c r="B8" s="51">
        <v>56900</v>
      </c>
      <c r="C8" s="52">
        <v>57100</v>
      </c>
      <c r="D8" s="52">
        <v>57400</v>
      </c>
      <c r="E8" s="52">
        <v>57900</v>
      </c>
      <c r="F8" s="52">
        <v>58500</v>
      </c>
      <c r="G8" s="52">
        <v>59100</v>
      </c>
      <c r="H8" s="52">
        <v>59500</v>
      </c>
      <c r="I8" s="53">
        <v>59700</v>
      </c>
      <c r="J8" s="26"/>
      <c r="K8" s="26"/>
      <c r="L8" s="26"/>
      <c r="M8" s="26"/>
      <c r="N8" s="26"/>
      <c r="O8" s="26"/>
      <c r="P8" s="26"/>
      <c r="Q8" s="26"/>
      <c r="R8" s="26"/>
      <c r="S8" s="26"/>
      <c r="T8" s="26"/>
      <c r="U8" s="26"/>
      <c r="V8" s="26"/>
      <c r="W8" s="26"/>
      <c r="X8" s="26"/>
      <c r="Y8" s="26"/>
      <c r="Z8" s="26"/>
      <c r="AA8" s="26"/>
      <c r="AB8" s="26"/>
      <c r="AC8" s="26"/>
    </row>
    <row r="9" spans="1:29" s="66" customFormat="1">
      <c r="A9" s="62" t="s">
        <v>243</v>
      </c>
      <c r="B9" s="63"/>
      <c r="C9" s="64"/>
      <c r="D9" s="64"/>
      <c r="E9" s="64"/>
      <c r="F9" s="64"/>
      <c r="G9" s="64"/>
      <c r="H9" s="64"/>
      <c r="I9" s="65"/>
      <c r="J9" s="59"/>
      <c r="K9" s="59"/>
      <c r="L9" s="59"/>
      <c r="M9" s="59"/>
      <c r="N9" s="59"/>
      <c r="O9" s="59"/>
      <c r="P9" s="59"/>
      <c r="Q9" s="59"/>
      <c r="R9" s="59"/>
      <c r="S9" s="59"/>
      <c r="T9" s="59"/>
      <c r="U9" s="59"/>
      <c r="V9" s="59"/>
      <c r="W9" s="59"/>
      <c r="X9" s="59"/>
      <c r="Y9" s="59"/>
      <c r="Z9" s="59"/>
      <c r="AA9" s="59"/>
      <c r="AB9" s="59"/>
      <c r="AC9" s="59"/>
    </row>
    <row r="10" spans="1:29" s="27" customFormat="1">
      <c r="A10" s="36" t="s">
        <v>49</v>
      </c>
      <c r="B10" s="51">
        <v>34000</v>
      </c>
      <c r="C10" s="52">
        <v>34100</v>
      </c>
      <c r="D10" s="52">
        <v>34200</v>
      </c>
      <c r="E10" s="52">
        <v>34400</v>
      </c>
      <c r="F10" s="52">
        <v>34700</v>
      </c>
      <c r="G10" s="52">
        <v>35000</v>
      </c>
      <c r="H10" s="52">
        <v>34900</v>
      </c>
      <c r="I10" s="53">
        <v>35000</v>
      </c>
      <c r="J10" s="26"/>
      <c r="K10" s="33"/>
      <c r="L10" s="31"/>
      <c r="M10" s="26"/>
      <c r="N10" s="26"/>
      <c r="O10" s="26"/>
      <c r="P10" s="26"/>
      <c r="Q10" s="26"/>
      <c r="R10" s="26"/>
      <c r="S10" s="26"/>
      <c r="T10" s="26"/>
      <c r="U10" s="26"/>
      <c r="V10" s="26"/>
      <c r="W10" s="26"/>
      <c r="X10" s="26"/>
      <c r="Y10" s="26"/>
      <c r="Z10" s="26"/>
      <c r="AA10" s="26"/>
      <c r="AB10" s="26"/>
      <c r="AC10" s="26"/>
    </row>
    <row r="11" spans="1:29" s="27" customFormat="1">
      <c r="A11" s="36" t="s">
        <v>50</v>
      </c>
      <c r="B11" s="51">
        <v>17350</v>
      </c>
      <c r="C11" s="52">
        <v>17350</v>
      </c>
      <c r="D11" s="52">
        <v>17350</v>
      </c>
      <c r="E11" s="52">
        <v>17350</v>
      </c>
      <c r="F11" s="52">
        <v>17400</v>
      </c>
      <c r="G11" s="52">
        <v>17500</v>
      </c>
      <c r="H11" s="52">
        <v>17600</v>
      </c>
      <c r="I11" s="53">
        <v>17700</v>
      </c>
      <c r="J11" s="26"/>
      <c r="K11" s="26"/>
      <c r="L11" s="26"/>
      <c r="M11" s="26"/>
      <c r="N11" s="26"/>
      <c r="O11" s="26"/>
      <c r="P11" s="26"/>
      <c r="Q11" s="26"/>
      <c r="R11" s="26"/>
      <c r="S11" s="26"/>
      <c r="T11" s="26"/>
      <c r="U11" s="26"/>
      <c r="V11" s="26"/>
      <c r="W11" s="26"/>
      <c r="X11" s="26"/>
      <c r="Y11" s="26"/>
      <c r="Z11" s="26"/>
      <c r="AA11" s="26"/>
      <c r="AB11" s="26"/>
      <c r="AC11" s="26"/>
    </row>
    <row r="12" spans="1:29">
      <c r="A12" s="33" t="s">
        <v>29</v>
      </c>
      <c r="B12" s="51">
        <v>126100</v>
      </c>
      <c r="C12" s="52">
        <v>128200</v>
      </c>
      <c r="D12" s="52">
        <v>130000</v>
      </c>
      <c r="E12" s="52">
        <v>132100</v>
      </c>
      <c r="F12" s="52">
        <v>134300</v>
      </c>
      <c r="G12" s="52">
        <v>136000</v>
      </c>
      <c r="H12" s="52">
        <v>138000</v>
      </c>
      <c r="I12" s="53">
        <v>139600</v>
      </c>
      <c r="J12" s="29" t="s">
        <v>248</v>
      </c>
    </row>
    <row r="13" spans="1:29">
      <c r="A13" s="33" t="s">
        <v>97</v>
      </c>
      <c r="B13" s="51">
        <v>63300</v>
      </c>
      <c r="C13" s="52">
        <v>64300</v>
      </c>
      <c r="D13" s="52">
        <v>65200</v>
      </c>
      <c r="E13" s="52">
        <v>66100</v>
      </c>
      <c r="F13" s="52">
        <v>67200</v>
      </c>
      <c r="G13" s="52">
        <v>67900</v>
      </c>
      <c r="H13" s="52">
        <v>67900</v>
      </c>
      <c r="I13" s="53">
        <v>68300</v>
      </c>
      <c r="J13" s="26" t="s">
        <v>279</v>
      </c>
    </row>
    <row r="14" spans="1:29">
      <c r="A14" s="33" t="s">
        <v>138</v>
      </c>
      <c r="B14" s="54">
        <v>85150</v>
      </c>
      <c r="C14" s="55">
        <v>85190</v>
      </c>
      <c r="D14" s="55">
        <v>85270</v>
      </c>
      <c r="E14" s="55">
        <v>85630</v>
      </c>
      <c r="F14" s="55">
        <v>86240</v>
      </c>
      <c r="G14" s="55">
        <v>86940</v>
      </c>
      <c r="H14" s="55">
        <v>87280</v>
      </c>
      <c r="I14" s="56">
        <v>87660</v>
      </c>
      <c r="J14" s="29" t="s">
        <v>249</v>
      </c>
    </row>
    <row r="15" spans="1:29" s="27" customFormat="1">
      <c r="A15" s="29" t="s">
        <v>129</v>
      </c>
      <c r="B15" s="51">
        <v>73600</v>
      </c>
      <c r="C15" s="52">
        <v>73900</v>
      </c>
      <c r="D15" s="52">
        <v>74200</v>
      </c>
      <c r="E15" s="52">
        <v>75100</v>
      </c>
      <c r="F15" s="52">
        <v>76000</v>
      </c>
      <c r="G15" s="52">
        <v>76800</v>
      </c>
      <c r="H15" s="52">
        <v>77400</v>
      </c>
      <c r="I15" s="53">
        <v>77900</v>
      </c>
      <c r="J15" s="26"/>
      <c r="K15" s="26"/>
      <c r="L15" s="26"/>
      <c r="M15" s="26"/>
      <c r="N15" s="26"/>
      <c r="O15" s="26"/>
      <c r="P15" s="26"/>
      <c r="Q15" s="26"/>
      <c r="R15" s="26"/>
      <c r="S15" s="26"/>
      <c r="T15" s="26"/>
      <c r="U15" s="26"/>
      <c r="V15" s="26"/>
      <c r="W15" s="26"/>
      <c r="X15" s="26"/>
      <c r="Y15" s="26"/>
      <c r="Z15" s="26"/>
      <c r="AA15" s="26"/>
      <c r="AB15" s="26"/>
      <c r="AC15" s="26"/>
    </row>
    <row r="16" spans="1:29" s="27" customFormat="1">
      <c r="A16" s="29" t="s">
        <v>53</v>
      </c>
      <c r="B16" s="51">
        <v>50700</v>
      </c>
      <c r="C16" s="52">
        <v>50900</v>
      </c>
      <c r="D16" s="52">
        <v>51100</v>
      </c>
      <c r="E16" s="52">
        <v>51300</v>
      </c>
      <c r="F16" s="52">
        <v>51700</v>
      </c>
      <c r="G16" s="52">
        <v>51800</v>
      </c>
      <c r="H16" s="52">
        <v>51600</v>
      </c>
      <c r="I16" s="53">
        <v>51900</v>
      </c>
      <c r="J16" s="26"/>
      <c r="K16" s="26"/>
      <c r="L16" s="26"/>
      <c r="M16" s="26"/>
      <c r="N16" s="26"/>
      <c r="O16" s="26"/>
      <c r="P16" s="26"/>
      <c r="Q16" s="26"/>
      <c r="R16" s="26"/>
      <c r="S16" s="26"/>
      <c r="T16" s="26"/>
      <c r="U16" s="26"/>
      <c r="V16" s="26"/>
      <c r="W16" s="26"/>
      <c r="X16" s="26"/>
      <c r="Y16" s="26"/>
      <c r="Z16" s="26"/>
      <c r="AA16" s="26"/>
      <c r="AB16" s="26"/>
      <c r="AC16" s="26"/>
    </row>
    <row r="17" spans="1:29" s="27" customFormat="1">
      <c r="A17" s="29" t="s">
        <v>60</v>
      </c>
      <c r="B17" s="25"/>
      <c r="C17" s="26"/>
      <c r="D17" s="26"/>
      <c r="E17" s="26"/>
      <c r="F17" s="26"/>
      <c r="G17" s="26"/>
      <c r="H17" s="26"/>
      <c r="I17" s="41"/>
      <c r="J17" s="26"/>
      <c r="K17" s="26"/>
      <c r="L17" s="26"/>
      <c r="M17" s="26"/>
      <c r="N17" s="26"/>
      <c r="O17" s="26"/>
      <c r="P17" s="26"/>
      <c r="Q17" s="26"/>
      <c r="R17" s="26"/>
      <c r="S17" s="26"/>
      <c r="T17" s="26"/>
      <c r="U17" s="26"/>
      <c r="V17" s="26"/>
      <c r="W17" s="26"/>
      <c r="X17" s="26"/>
      <c r="Y17" s="26"/>
      <c r="Z17" s="26"/>
      <c r="AA17" s="26"/>
      <c r="AB17" s="26"/>
      <c r="AC17" s="26"/>
    </row>
    <row r="18" spans="1:29" s="27" customFormat="1">
      <c r="A18" s="39" t="s">
        <v>64</v>
      </c>
      <c r="B18" s="51">
        <v>12200</v>
      </c>
      <c r="C18" s="52">
        <v>12100</v>
      </c>
      <c r="D18" s="52">
        <v>12100</v>
      </c>
      <c r="E18" s="52">
        <v>12150</v>
      </c>
      <c r="F18" s="52">
        <v>12250</v>
      </c>
      <c r="G18" s="52">
        <v>12400</v>
      </c>
      <c r="H18" s="52">
        <v>12450</v>
      </c>
      <c r="I18" s="53">
        <v>12450</v>
      </c>
      <c r="J18" s="26"/>
      <c r="K18" s="26"/>
      <c r="L18" s="26"/>
      <c r="M18" s="26"/>
      <c r="N18" s="26"/>
      <c r="O18" s="26"/>
      <c r="P18" s="26"/>
      <c r="Q18" s="26"/>
      <c r="R18" s="26"/>
      <c r="S18" s="26"/>
      <c r="T18" s="26"/>
      <c r="U18" s="26"/>
      <c r="V18" s="26"/>
      <c r="W18" s="26"/>
      <c r="X18" s="26"/>
      <c r="Y18" s="26"/>
      <c r="Z18" s="26"/>
      <c r="AA18" s="26"/>
      <c r="AB18" s="26"/>
      <c r="AC18" s="26"/>
    </row>
    <row r="19" spans="1:29" s="27" customFormat="1">
      <c r="A19" s="39" t="s">
        <v>267</v>
      </c>
      <c r="B19" s="51">
        <v>20790</v>
      </c>
      <c r="C19" s="52">
        <v>21100</v>
      </c>
      <c r="D19" s="52">
        <v>21340</v>
      </c>
      <c r="E19" s="52">
        <v>21620</v>
      </c>
      <c r="F19" s="52">
        <v>21770</v>
      </c>
      <c r="G19" s="52">
        <v>22200</v>
      </c>
      <c r="H19" s="52">
        <v>22450</v>
      </c>
      <c r="I19" s="53">
        <v>22610</v>
      </c>
      <c r="J19" s="26"/>
      <c r="K19" s="26"/>
      <c r="L19" s="26"/>
      <c r="M19" s="26"/>
      <c r="N19" s="26"/>
      <c r="O19" s="26"/>
      <c r="P19" s="26"/>
      <c r="Q19" s="26"/>
      <c r="R19" s="26"/>
      <c r="S19" s="26"/>
      <c r="T19" s="26"/>
      <c r="U19" s="26"/>
      <c r="V19" s="26"/>
      <c r="W19" s="26"/>
      <c r="X19" s="26"/>
      <c r="Y19" s="26"/>
      <c r="Z19" s="26"/>
      <c r="AA19" s="26"/>
      <c r="AB19" s="26"/>
      <c r="AC19" s="26"/>
    </row>
    <row r="20" spans="1:29" s="27" customFormat="1">
      <c r="A20" s="39" t="s">
        <v>131</v>
      </c>
      <c r="B20" s="51">
        <v>11250</v>
      </c>
      <c r="C20" s="52">
        <v>11250</v>
      </c>
      <c r="D20" s="52">
        <v>11250</v>
      </c>
      <c r="E20" s="52">
        <v>11200</v>
      </c>
      <c r="F20" s="52">
        <v>11500</v>
      </c>
      <c r="G20" s="52">
        <v>11650</v>
      </c>
      <c r="H20" s="52">
        <v>11700</v>
      </c>
      <c r="I20" s="53">
        <v>11800</v>
      </c>
      <c r="J20" s="26"/>
      <c r="K20" s="26"/>
      <c r="L20" s="26"/>
      <c r="M20" s="26"/>
      <c r="N20" s="26"/>
      <c r="O20" s="26"/>
      <c r="P20" s="26"/>
      <c r="Q20" s="26"/>
      <c r="R20" s="26"/>
      <c r="S20" s="26"/>
      <c r="T20" s="26"/>
      <c r="U20" s="26"/>
      <c r="V20" s="26"/>
      <c r="W20" s="26"/>
      <c r="X20" s="26"/>
      <c r="Y20" s="26"/>
      <c r="Z20" s="26"/>
      <c r="AA20" s="26"/>
      <c r="AB20" s="26"/>
      <c r="AC20" s="26"/>
    </row>
    <row r="21" spans="1:29" s="27" customFormat="1">
      <c r="A21" s="29" t="s">
        <v>165</v>
      </c>
      <c r="B21" s="51">
        <v>54600</v>
      </c>
      <c r="C21" s="52">
        <v>54800</v>
      </c>
      <c r="D21" s="52">
        <v>54800</v>
      </c>
      <c r="E21" s="52">
        <v>55000</v>
      </c>
      <c r="F21" s="52">
        <v>55400</v>
      </c>
      <c r="G21" s="52">
        <v>55600</v>
      </c>
      <c r="H21" s="52">
        <v>55600</v>
      </c>
      <c r="I21" s="53">
        <v>55600</v>
      </c>
      <c r="J21" s="26"/>
      <c r="K21" s="26"/>
      <c r="L21" s="26"/>
      <c r="M21" s="26"/>
      <c r="N21" s="26"/>
      <c r="O21" s="26"/>
      <c r="P21" s="26"/>
      <c r="Q21" s="26"/>
      <c r="R21" s="26"/>
      <c r="S21" s="26"/>
      <c r="T21" s="26"/>
      <c r="U21" s="26"/>
      <c r="V21" s="26"/>
      <c r="W21" s="26"/>
      <c r="X21" s="26"/>
      <c r="Y21" s="26"/>
      <c r="Z21" s="26"/>
      <c r="AA21" s="26"/>
      <c r="AB21" s="26"/>
      <c r="AC21" s="26"/>
    </row>
    <row r="22" spans="1:29" s="27" customFormat="1">
      <c r="A22" s="29" t="s">
        <v>15</v>
      </c>
      <c r="B22" s="51">
        <v>52600</v>
      </c>
      <c r="C22" s="52">
        <v>52500</v>
      </c>
      <c r="D22" s="52">
        <v>52500</v>
      </c>
      <c r="E22" s="52">
        <v>52600</v>
      </c>
      <c r="F22" s="52">
        <v>52900</v>
      </c>
      <c r="G22" s="52">
        <v>53200</v>
      </c>
      <c r="H22" s="52">
        <v>52900</v>
      </c>
      <c r="I22" s="53">
        <v>53000</v>
      </c>
      <c r="J22" s="26"/>
      <c r="K22" s="26"/>
      <c r="L22" s="26"/>
      <c r="M22" s="26"/>
      <c r="N22" s="26"/>
      <c r="O22" s="26"/>
      <c r="P22" s="26"/>
      <c r="Q22" s="26"/>
      <c r="R22" s="26"/>
      <c r="S22" s="26"/>
      <c r="T22" s="26"/>
      <c r="U22" s="26"/>
      <c r="V22" s="26"/>
      <c r="W22" s="26"/>
      <c r="X22" s="26"/>
      <c r="Y22" s="26"/>
      <c r="Z22" s="26"/>
      <c r="AA22" s="26"/>
      <c r="AB22" s="26"/>
      <c r="AC22" s="26"/>
    </row>
    <row r="23" spans="1:29">
      <c r="A23" s="29" t="s">
        <v>144</v>
      </c>
      <c r="B23" s="51">
        <v>47300</v>
      </c>
      <c r="C23" s="52">
        <v>47500</v>
      </c>
      <c r="D23" s="52">
        <v>47600</v>
      </c>
      <c r="E23" s="52">
        <v>47900</v>
      </c>
      <c r="F23" s="52">
        <v>48400</v>
      </c>
      <c r="G23" s="52">
        <v>48700</v>
      </c>
      <c r="H23" s="52">
        <v>48900</v>
      </c>
      <c r="I23" s="53">
        <v>49300</v>
      </c>
    </row>
    <row r="24" spans="1:29">
      <c r="A24" s="29" t="s">
        <v>67</v>
      </c>
      <c r="B24" s="51">
        <v>50500</v>
      </c>
      <c r="C24" s="52">
        <v>50900</v>
      </c>
      <c r="D24" s="52">
        <v>51100</v>
      </c>
      <c r="E24" s="52">
        <v>51300</v>
      </c>
      <c r="F24" s="52">
        <v>51900</v>
      </c>
      <c r="G24" s="52">
        <v>52200</v>
      </c>
      <c r="H24" s="52">
        <v>52500</v>
      </c>
      <c r="I24" s="53">
        <v>52900</v>
      </c>
    </row>
    <row r="25" spans="1:29">
      <c r="A25" s="29" t="s">
        <v>24</v>
      </c>
      <c r="B25" s="51">
        <v>43100</v>
      </c>
      <c r="C25" s="52">
        <v>43000</v>
      </c>
      <c r="D25" s="52">
        <v>43000</v>
      </c>
      <c r="E25" s="52">
        <v>43200</v>
      </c>
      <c r="F25" s="52">
        <v>43500</v>
      </c>
      <c r="G25" s="52">
        <v>43900</v>
      </c>
      <c r="H25" s="52">
        <v>43600</v>
      </c>
      <c r="I25" s="53">
        <v>43600</v>
      </c>
    </row>
    <row r="26" spans="1:29">
      <c r="A26" s="29" t="s">
        <v>126</v>
      </c>
      <c r="B26" s="51">
        <v>33600</v>
      </c>
      <c r="C26" s="52">
        <v>33600</v>
      </c>
      <c r="D26" s="52">
        <v>33700</v>
      </c>
      <c r="E26" s="52">
        <v>33900</v>
      </c>
      <c r="F26" s="52">
        <v>34200</v>
      </c>
      <c r="G26" s="52">
        <v>34300</v>
      </c>
      <c r="H26" s="52">
        <v>34400</v>
      </c>
      <c r="I26" s="53">
        <v>34800</v>
      </c>
    </row>
    <row r="27" spans="1:29">
      <c r="A27" s="29" t="s">
        <v>57</v>
      </c>
      <c r="B27" s="51">
        <v>29200</v>
      </c>
      <c r="C27" s="52">
        <v>29400</v>
      </c>
      <c r="D27" s="52">
        <v>29800</v>
      </c>
      <c r="E27" s="52">
        <v>30000</v>
      </c>
      <c r="F27" s="52">
        <v>30200</v>
      </c>
      <c r="G27" s="52">
        <v>30400</v>
      </c>
      <c r="H27" s="52">
        <v>30600</v>
      </c>
      <c r="I27" s="53">
        <v>30900</v>
      </c>
    </row>
    <row r="28" spans="1:29">
      <c r="A28" s="29" t="s">
        <v>7</v>
      </c>
      <c r="B28" s="51">
        <v>25400</v>
      </c>
      <c r="C28" s="52">
        <v>25400</v>
      </c>
      <c r="D28" s="52">
        <v>25300</v>
      </c>
      <c r="E28" s="52">
        <v>25400</v>
      </c>
      <c r="F28" s="52">
        <v>25400</v>
      </c>
      <c r="G28" s="52">
        <v>25500</v>
      </c>
      <c r="H28" s="52">
        <v>25600</v>
      </c>
      <c r="I28" s="53">
        <v>25800</v>
      </c>
    </row>
    <row r="29" spans="1:29" s="59" customFormat="1">
      <c r="A29" s="57" t="s">
        <v>166</v>
      </c>
      <c r="B29" s="58"/>
      <c r="I29" s="60"/>
    </row>
    <row r="30" spans="1:29">
      <c r="A30" s="29" t="s">
        <v>88</v>
      </c>
      <c r="B30" s="51">
        <v>19700</v>
      </c>
      <c r="C30" s="52">
        <v>20200</v>
      </c>
      <c r="D30" s="52">
        <v>20600</v>
      </c>
      <c r="E30" s="52">
        <v>21000</v>
      </c>
      <c r="F30" s="52">
        <v>21400</v>
      </c>
      <c r="G30" s="52">
        <v>21900</v>
      </c>
      <c r="H30" s="52">
        <v>22200</v>
      </c>
      <c r="I30" s="53">
        <v>22900</v>
      </c>
    </row>
    <row r="31" spans="1:29">
      <c r="A31" s="29" t="s">
        <v>33</v>
      </c>
      <c r="B31" s="51">
        <v>17550</v>
      </c>
      <c r="C31" s="52">
        <v>17450</v>
      </c>
      <c r="D31" s="52">
        <v>17350</v>
      </c>
      <c r="E31" s="52">
        <v>17350</v>
      </c>
      <c r="F31" s="52">
        <v>17450</v>
      </c>
      <c r="G31" s="52">
        <v>17400</v>
      </c>
      <c r="H31" s="52">
        <v>17500</v>
      </c>
      <c r="I31" s="53">
        <v>17650</v>
      </c>
      <c r="K31" s="37"/>
      <c r="L31" s="38"/>
    </row>
    <row r="32" spans="1:29">
      <c r="A32" s="29" t="s">
        <v>46</v>
      </c>
      <c r="B32" s="51">
        <v>18100</v>
      </c>
      <c r="C32" s="52">
        <v>18050</v>
      </c>
      <c r="D32" s="52">
        <v>18050</v>
      </c>
      <c r="E32" s="52">
        <v>18100</v>
      </c>
      <c r="F32" s="52">
        <v>18200</v>
      </c>
      <c r="G32" s="52">
        <v>18250</v>
      </c>
      <c r="H32" s="52">
        <v>18250</v>
      </c>
      <c r="I32" s="53">
        <v>18300</v>
      </c>
      <c r="J32" s="26" t="s">
        <v>252</v>
      </c>
    </row>
    <row r="33" spans="1:9" s="59" customFormat="1">
      <c r="A33" s="57" t="s">
        <v>167</v>
      </c>
      <c r="B33" s="58"/>
      <c r="I33" s="60"/>
    </row>
    <row r="34" spans="1:9">
      <c r="A34" s="29" t="s">
        <v>18</v>
      </c>
      <c r="B34" s="51">
        <v>15100</v>
      </c>
      <c r="C34" s="52">
        <v>15250</v>
      </c>
      <c r="D34" s="52">
        <v>15350</v>
      </c>
      <c r="E34" s="52">
        <v>15400</v>
      </c>
      <c r="F34" s="52">
        <v>15450</v>
      </c>
      <c r="G34" s="52">
        <v>15700</v>
      </c>
      <c r="H34" s="52">
        <v>15950</v>
      </c>
      <c r="I34" s="53">
        <v>16550</v>
      </c>
    </row>
    <row r="35" spans="1:9">
      <c r="A35" s="29" t="s">
        <v>95</v>
      </c>
      <c r="B35" s="51">
        <v>9670</v>
      </c>
      <c r="C35" s="52">
        <v>9620</v>
      </c>
      <c r="D35" s="52">
        <v>9660</v>
      </c>
      <c r="E35" s="52">
        <v>9620</v>
      </c>
      <c r="F35" s="52">
        <v>9600</v>
      </c>
      <c r="G35" s="52">
        <v>9590</v>
      </c>
      <c r="H35" s="52">
        <v>9630</v>
      </c>
      <c r="I35" s="53">
        <v>9680</v>
      </c>
    </row>
    <row r="36" spans="1:9" s="59" customFormat="1">
      <c r="A36" s="57" t="s">
        <v>168</v>
      </c>
      <c r="B36" s="58"/>
      <c r="I36" s="60"/>
    </row>
    <row r="37" spans="1:9" s="59" customFormat="1">
      <c r="A37" s="57" t="s">
        <v>169</v>
      </c>
      <c r="B37" s="58"/>
      <c r="I37" s="60"/>
    </row>
    <row r="38" spans="1:9">
      <c r="A38" s="29" t="s">
        <v>21</v>
      </c>
      <c r="B38" s="51">
        <v>12200</v>
      </c>
      <c r="C38" s="52">
        <v>12400</v>
      </c>
      <c r="D38" s="52">
        <v>12550</v>
      </c>
      <c r="E38" s="52">
        <v>12650</v>
      </c>
      <c r="F38" s="52">
        <v>12700</v>
      </c>
      <c r="G38" s="52">
        <v>12950</v>
      </c>
      <c r="H38" s="52">
        <v>13200</v>
      </c>
      <c r="I38" s="53">
        <v>13850</v>
      </c>
    </row>
    <row r="39" spans="1:9" s="59" customFormat="1">
      <c r="A39" s="57" t="s">
        <v>170</v>
      </c>
      <c r="B39" s="58"/>
      <c r="I39" s="60"/>
    </row>
    <row r="40" spans="1:9">
      <c r="A40" s="29" t="s">
        <v>142</v>
      </c>
      <c r="B40" s="51">
        <v>11150</v>
      </c>
      <c r="C40" s="52">
        <v>11150</v>
      </c>
      <c r="D40" s="52">
        <v>11100</v>
      </c>
      <c r="E40" s="52">
        <v>11100</v>
      </c>
      <c r="F40" s="52">
        <v>11050</v>
      </c>
      <c r="G40" s="52">
        <v>11050</v>
      </c>
      <c r="H40" s="52">
        <v>11100</v>
      </c>
      <c r="I40" s="53">
        <v>11400</v>
      </c>
    </row>
    <row r="41" spans="1:9">
      <c r="A41" s="29" t="s">
        <v>35</v>
      </c>
      <c r="B41" s="51">
        <v>13300</v>
      </c>
      <c r="C41" s="52">
        <v>13050</v>
      </c>
      <c r="D41" s="52">
        <v>12900</v>
      </c>
      <c r="E41" s="52">
        <v>12850</v>
      </c>
      <c r="F41" s="52">
        <v>12800</v>
      </c>
      <c r="G41" s="52">
        <v>12700</v>
      </c>
      <c r="H41" s="52">
        <v>12700</v>
      </c>
      <c r="I41" s="53">
        <v>12750</v>
      </c>
    </row>
    <row r="42" spans="1:9">
      <c r="A42" s="29" t="s">
        <v>74</v>
      </c>
      <c r="B42" s="51">
        <v>12000</v>
      </c>
      <c r="C42" s="52">
        <v>12100</v>
      </c>
      <c r="D42" s="52">
        <v>12250</v>
      </c>
      <c r="E42" s="52">
        <v>12300</v>
      </c>
      <c r="F42" s="52">
        <v>12400</v>
      </c>
      <c r="G42" s="52">
        <v>12600</v>
      </c>
      <c r="H42" s="52">
        <v>12500</v>
      </c>
      <c r="I42" s="53">
        <v>12800</v>
      </c>
    </row>
    <row r="43" spans="1:9" s="59" customFormat="1">
      <c r="A43" s="57" t="s">
        <v>171</v>
      </c>
      <c r="B43" s="58"/>
      <c r="I43" s="60"/>
    </row>
    <row r="44" spans="1:9" s="59" customFormat="1">
      <c r="A44" s="57" t="s">
        <v>172</v>
      </c>
      <c r="B44" s="58"/>
      <c r="I44" s="60"/>
    </row>
    <row r="45" spans="1:9">
      <c r="A45" s="35" t="s">
        <v>140</v>
      </c>
      <c r="B45" s="54">
        <v>10750</v>
      </c>
      <c r="C45" s="55">
        <v>10810</v>
      </c>
      <c r="D45" s="55">
        <v>10930</v>
      </c>
      <c r="E45" s="55">
        <v>11070</v>
      </c>
      <c r="F45" s="55">
        <v>11160</v>
      </c>
      <c r="G45" s="55">
        <v>11260</v>
      </c>
      <c r="H45" s="55">
        <v>11320</v>
      </c>
      <c r="I45" s="56">
        <v>11440</v>
      </c>
    </row>
    <row r="46" spans="1:9" s="59" customFormat="1">
      <c r="A46" s="57" t="s">
        <v>173</v>
      </c>
      <c r="B46" s="58"/>
      <c r="I46" s="60"/>
    </row>
    <row r="47" spans="1:9" s="59" customFormat="1">
      <c r="A47" s="57" t="s">
        <v>174</v>
      </c>
      <c r="B47" s="58"/>
      <c r="I47" s="60"/>
    </row>
    <row r="48" spans="1:9">
      <c r="A48" s="29" t="s">
        <v>23</v>
      </c>
      <c r="B48" s="51">
        <v>9270</v>
      </c>
      <c r="C48" s="52">
        <v>9160</v>
      </c>
      <c r="D48" s="52">
        <v>9120</v>
      </c>
      <c r="E48" s="52">
        <v>9120</v>
      </c>
      <c r="F48" s="52">
        <v>9140</v>
      </c>
      <c r="G48" s="52">
        <v>9110</v>
      </c>
      <c r="H48" s="52">
        <v>9070</v>
      </c>
      <c r="I48" s="53">
        <v>9090</v>
      </c>
    </row>
    <row r="49" spans="1:9">
      <c r="A49" s="29" t="s">
        <v>91</v>
      </c>
      <c r="B49" s="51">
        <v>6280</v>
      </c>
      <c r="C49" s="52">
        <v>6440</v>
      </c>
      <c r="D49" s="52">
        <v>6530</v>
      </c>
      <c r="E49" s="52">
        <v>6620</v>
      </c>
      <c r="F49" s="52">
        <v>6730</v>
      </c>
      <c r="G49" s="52">
        <v>6800</v>
      </c>
      <c r="H49" s="52">
        <v>6900</v>
      </c>
      <c r="I49" s="53">
        <v>7040</v>
      </c>
    </row>
    <row r="50" spans="1:9">
      <c r="A50" s="29" t="s">
        <v>13</v>
      </c>
      <c r="B50" s="51">
        <v>8050</v>
      </c>
      <c r="C50" s="52">
        <v>8120</v>
      </c>
      <c r="D50" s="52">
        <v>8230</v>
      </c>
      <c r="E50" s="52">
        <v>8350</v>
      </c>
      <c r="F50" s="52">
        <v>8470</v>
      </c>
      <c r="G50" s="52">
        <v>8630</v>
      </c>
      <c r="H50" s="52">
        <v>8800</v>
      </c>
      <c r="I50" s="53">
        <v>8810</v>
      </c>
    </row>
    <row r="51" spans="1:9" s="59" customFormat="1">
      <c r="A51" s="57" t="s">
        <v>175</v>
      </c>
      <c r="B51" s="58"/>
      <c r="I51" s="60"/>
    </row>
    <row r="52" spans="1:9" s="59" customFormat="1">
      <c r="A52" s="57" t="s">
        <v>105</v>
      </c>
      <c r="B52" s="58"/>
      <c r="I52" s="60"/>
    </row>
    <row r="53" spans="1:9">
      <c r="A53" s="29" t="s">
        <v>27</v>
      </c>
      <c r="B53" s="51">
        <v>6440</v>
      </c>
      <c r="C53" s="52">
        <v>6450</v>
      </c>
      <c r="D53" s="52">
        <v>6550</v>
      </c>
      <c r="E53" s="52">
        <v>6630</v>
      </c>
      <c r="F53" s="52">
        <v>6710</v>
      </c>
      <c r="G53" s="52">
        <v>6780</v>
      </c>
      <c r="H53" s="52">
        <v>7010</v>
      </c>
      <c r="I53" s="53">
        <v>7300</v>
      </c>
    </row>
    <row r="54" spans="1:9" s="59" customFormat="1">
      <c r="A54" s="57" t="s">
        <v>176</v>
      </c>
      <c r="B54" s="58"/>
      <c r="I54" s="60"/>
    </row>
    <row r="55" spans="1:9">
      <c r="A55" s="29" t="s">
        <v>121</v>
      </c>
      <c r="B55" s="51">
        <v>7110</v>
      </c>
      <c r="C55" s="52">
        <v>7060</v>
      </c>
      <c r="D55" s="52">
        <v>7040</v>
      </c>
      <c r="E55" s="52">
        <v>7020</v>
      </c>
      <c r="F55" s="52">
        <v>7040</v>
      </c>
      <c r="G55" s="52">
        <v>7030</v>
      </c>
      <c r="H55" s="52">
        <v>7010</v>
      </c>
      <c r="I55" s="53">
        <v>7280</v>
      </c>
    </row>
    <row r="56" spans="1:9">
      <c r="A56" s="29" t="s">
        <v>20</v>
      </c>
      <c r="B56" s="51">
        <v>7600</v>
      </c>
      <c r="C56" s="52">
        <v>7720</v>
      </c>
      <c r="D56" s="52">
        <v>7760</v>
      </c>
      <c r="E56" s="52">
        <v>7790</v>
      </c>
      <c r="F56" s="52">
        <v>7800</v>
      </c>
      <c r="G56" s="52">
        <v>7510</v>
      </c>
      <c r="H56" s="52">
        <v>7030</v>
      </c>
      <c r="I56" s="53">
        <v>7150</v>
      </c>
    </row>
    <row r="57" spans="1:9" s="59" customFormat="1">
      <c r="A57" s="57" t="s">
        <v>177</v>
      </c>
      <c r="B57" s="58"/>
      <c r="I57" s="60"/>
    </row>
    <row r="58" spans="1:9" s="59" customFormat="1">
      <c r="A58" s="57" t="s">
        <v>178</v>
      </c>
      <c r="B58" s="58"/>
      <c r="I58" s="60"/>
    </row>
    <row r="59" spans="1:9" s="59" customFormat="1">
      <c r="A59" s="57" t="s">
        <v>179</v>
      </c>
      <c r="B59" s="58"/>
      <c r="I59" s="60"/>
    </row>
    <row r="60" spans="1:9" s="59" customFormat="1">
      <c r="A60" s="57" t="s">
        <v>180</v>
      </c>
      <c r="B60" s="58"/>
      <c r="I60" s="60"/>
    </row>
    <row r="61" spans="1:9">
      <c r="A61" s="29" t="s">
        <v>94</v>
      </c>
      <c r="B61" s="51">
        <v>7150</v>
      </c>
      <c r="C61" s="52">
        <v>7070</v>
      </c>
      <c r="D61" s="52">
        <v>7050</v>
      </c>
      <c r="E61" s="52">
        <v>7010</v>
      </c>
      <c r="F61" s="52">
        <v>6990</v>
      </c>
      <c r="G61" s="52">
        <v>6940</v>
      </c>
      <c r="H61" s="52">
        <v>6910</v>
      </c>
      <c r="I61" s="53">
        <v>6720</v>
      </c>
    </row>
    <row r="62" spans="1:9" s="59" customFormat="1">
      <c r="A62" s="62" t="s">
        <v>244</v>
      </c>
      <c r="B62" s="63"/>
      <c r="C62" s="64"/>
      <c r="D62" s="64"/>
      <c r="E62" s="64"/>
      <c r="F62" s="64"/>
      <c r="G62" s="64"/>
      <c r="H62" s="64"/>
      <c r="I62" s="65"/>
    </row>
    <row r="63" spans="1:9" s="59" customFormat="1">
      <c r="A63" s="57" t="s">
        <v>181</v>
      </c>
      <c r="B63" s="58"/>
      <c r="I63" s="60"/>
    </row>
    <row r="64" spans="1:9">
      <c r="A64" s="29" t="s">
        <v>28</v>
      </c>
      <c r="B64" s="51">
        <v>5300</v>
      </c>
      <c r="C64" s="52">
        <v>5290</v>
      </c>
      <c r="D64" s="52">
        <v>5280</v>
      </c>
      <c r="E64" s="52">
        <v>5250</v>
      </c>
      <c r="F64" s="52">
        <v>5290</v>
      </c>
      <c r="G64" s="52">
        <v>5320</v>
      </c>
      <c r="H64" s="52">
        <v>5390</v>
      </c>
      <c r="I64" s="53">
        <v>5540</v>
      </c>
    </row>
    <row r="65" spans="1:15" s="59" customFormat="1">
      <c r="A65" s="57" t="s">
        <v>182</v>
      </c>
      <c r="B65" s="58"/>
      <c r="I65" s="60"/>
    </row>
    <row r="66" spans="1:15">
      <c r="A66" s="29" t="s">
        <v>65</v>
      </c>
      <c r="B66" s="51">
        <v>5390</v>
      </c>
      <c r="C66" s="52">
        <v>5430</v>
      </c>
      <c r="D66" s="52">
        <v>5470</v>
      </c>
      <c r="E66" s="52">
        <v>5490</v>
      </c>
      <c r="F66" s="52">
        <v>5530</v>
      </c>
      <c r="G66" s="52">
        <v>5520</v>
      </c>
      <c r="H66" s="52">
        <v>5460</v>
      </c>
      <c r="I66" s="53">
        <v>5460</v>
      </c>
    </row>
    <row r="67" spans="1:15">
      <c r="A67" s="29" t="s">
        <v>70</v>
      </c>
      <c r="B67" s="51">
        <v>4940</v>
      </c>
      <c r="C67" s="52">
        <v>4950</v>
      </c>
      <c r="D67" s="52">
        <v>4930</v>
      </c>
      <c r="E67" s="52">
        <v>4930</v>
      </c>
      <c r="F67" s="52">
        <v>4940</v>
      </c>
      <c r="G67" s="52">
        <v>4950</v>
      </c>
      <c r="H67" s="52">
        <v>4950</v>
      </c>
      <c r="I67" s="52">
        <v>5170</v>
      </c>
    </row>
    <row r="68" spans="1:15">
      <c r="A68" s="29" t="s">
        <v>183</v>
      </c>
      <c r="B68" s="51">
        <v>4210</v>
      </c>
      <c r="C68" s="52">
        <v>4210</v>
      </c>
      <c r="D68" s="52">
        <v>4210</v>
      </c>
      <c r="E68" s="52">
        <v>4210</v>
      </c>
      <c r="F68" s="52">
        <v>4300</v>
      </c>
      <c r="G68" s="52">
        <v>4370</v>
      </c>
      <c r="H68" s="52">
        <v>4400</v>
      </c>
      <c r="I68" s="53">
        <v>4520</v>
      </c>
      <c r="J68" s="26" t="s">
        <v>252</v>
      </c>
    </row>
    <row r="69" spans="1:15" s="59" customFormat="1">
      <c r="A69" s="57" t="s">
        <v>184</v>
      </c>
      <c r="B69" s="58"/>
      <c r="I69" s="60"/>
    </row>
    <row r="70" spans="1:15">
      <c r="A70" s="29" t="s">
        <v>37</v>
      </c>
      <c r="B70" s="51">
        <v>4600</v>
      </c>
      <c r="C70" s="52">
        <v>4580</v>
      </c>
      <c r="D70" s="52">
        <v>4590</v>
      </c>
      <c r="E70" s="52">
        <v>4590</v>
      </c>
      <c r="F70" s="52">
        <v>4610</v>
      </c>
      <c r="G70" s="52">
        <v>4640</v>
      </c>
      <c r="H70" s="52">
        <v>4660</v>
      </c>
      <c r="I70" s="53">
        <v>4790</v>
      </c>
    </row>
    <row r="71" spans="1:15">
      <c r="A71" s="29" t="s">
        <v>56</v>
      </c>
      <c r="B71" s="51">
        <v>5220</v>
      </c>
      <c r="C71" s="52">
        <v>5170</v>
      </c>
      <c r="D71" s="52">
        <v>5100</v>
      </c>
      <c r="E71" s="52">
        <v>5080</v>
      </c>
      <c r="F71" s="52">
        <v>5070</v>
      </c>
      <c r="G71" s="52">
        <v>5010</v>
      </c>
      <c r="H71" s="52">
        <v>4870</v>
      </c>
      <c r="I71" s="53">
        <v>4750</v>
      </c>
    </row>
    <row r="72" spans="1:15" s="59" customFormat="1">
      <c r="A72" s="57" t="s">
        <v>185</v>
      </c>
      <c r="B72" s="58"/>
      <c r="I72" s="60"/>
    </row>
    <row r="73" spans="1:15" s="59" customFormat="1">
      <c r="A73" s="57" t="s">
        <v>186</v>
      </c>
      <c r="B73" s="58"/>
      <c r="I73" s="60"/>
    </row>
    <row r="74" spans="1:15" s="59" customFormat="1">
      <c r="A74" s="57" t="s">
        <v>187</v>
      </c>
      <c r="B74" s="58"/>
      <c r="I74" s="60"/>
    </row>
    <row r="75" spans="1:15" s="59" customFormat="1">
      <c r="A75" s="57" t="s">
        <v>188</v>
      </c>
      <c r="B75" s="58"/>
      <c r="I75" s="60"/>
      <c r="J75" s="67"/>
      <c r="K75" s="66"/>
      <c r="L75" s="66"/>
      <c r="M75" s="66"/>
      <c r="N75" s="66"/>
      <c r="O75" s="66"/>
    </row>
    <row r="76" spans="1:15">
      <c r="A76" s="29" t="s">
        <v>34</v>
      </c>
      <c r="B76" s="51">
        <v>4540</v>
      </c>
      <c r="C76" s="52">
        <v>4510</v>
      </c>
      <c r="D76" s="52">
        <v>4520</v>
      </c>
      <c r="E76" s="52">
        <v>4540</v>
      </c>
      <c r="F76" s="52">
        <v>4550</v>
      </c>
      <c r="G76" s="52">
        <v>4540</v>
      </c>
      <c r="H76" s="52">
        <v>4570</v>
      </c>
      <c r="I76" s="53">
        <v>4630</v>
      </c>
    </row>
    <row r="77" spans="1:15">
      <c r="A77" s="29" t="s">
        <v>137</v>
      </c>
      <c r="B77" s="51">
        <v>3700</v>
      </c>
      <c r="C77" s="52">
        <v>3920</v>
      </c>
      <c r="D77" s="52">
        <v>4070</v>
      </c>
      <c r="E77" s="52">
        <v>4200</v>
      </c>
      <c r="F77" s="52">
        <v>4320</v>
      </c>
      <c r="G77" s="52">
        <v>4390</v>
      </c>
      <c r="H77" s="52">
        <v>4330</v>
      </c>
      <c r="I77" s="53">
        <v>4420</v>
      </c>
    </row>
    <row r="78" spans="1:15" s="59" customFormat="1">
      <c r="A78" s="57" t="s">
        <v>189</v>
      </c>
      <c r="B78" s="58"/>
      <c r="I78" s="60"/>
    </row>
    <row r="79" spans="1:15">
      <c r="A79" s="29" t="s">
        <v>130</v>
      </c>
      <c r="B79" s="51">
        <v>3010</v>
      </c>
      <c r="C79" s="52">
        <v>3010</v>
      </c>
      <c r="D79" s="52">
        <v>3030</v>
      </c>
      <c r="E79" s="52">
        <v>3030</v>
      </c>
      <c r="F79" s="52">
        <v>3020</v>
      </c>
      <c r="G79" s="52">
        <v>3020</v>
      </c>
      <c r="H79" s="52">
        <v>2840</v>
      </c>
      <c r="I79" s="53">
        <v>2950</v>
      </c>
    </row>
    <row r="80" spans="1:15" s="59" customFormat="1">
      <c r="A80" s="57" t="s">
        <v>190</v>
      </c>
      <c r="B80" s="58"/>
      <c r="I80" s="60"/>
    </row>
    <row r="81" spans="1:9" s="59" customFormat="1">
      <c r="A81" s="57" t="s">
        <v>191</v>
      </c>
      <c r="B81" s="58"/>
      <c r="I81" s="60"/>
    </row>
    <row r="82" spans="1:9">
      <c r="A82" s="29" t="s">
        <v>145</v>
      </c>
      <c r="B82" s="51">
        <v>4000</v>
      </c>
      <c r="C82" s="52">
        <v>4010</v>
      </c>
      <c r="D82" s="52">
        <v>4020</v>
      </c>
      <c r="E82" s="52">
        <v>4060</v>
      </c>
      <c r="F82" s="52">
        <v>4070</v>
      </c>
      <c r="G82" s="52">
        <v>4060</v>
      </c>
      <c r="H82" s="52">
        <v>4170</v>
      </c>
      <c r="I82" s="53">
        <v>4140</v>
      </c>
    </row>
    <row r="83" spans="1:9" s="59" customFormat="1">
      <c r="A83" s="57" t="s">
        <v>192</v>
      </c>
      <c r="B83" s="58"/>
      <c r="I83" s="60"/>
    </row>
    <row r="84" spans="1:9">
      <c r="A84" s="29" t="s">
        <v>135</v>
      </c>
      <c r="B84" s="51">
        <v>4140</v>
      </c>
      <c r="C84" s="52">
        <v>4140</v>
      </c>
      <c r="D84" s="52">
        <v>4100</v>
      </c>
      <c r="E84" s="52">
        <v>4100</v>
      </c>
      <c r="F84" s="52">
        <v>4080</v>
      </c>
      <c r="G84" s="52">
        <v>4060</v>
      </c>
      <c r="H84" s="52">
        <v>3970</v>
      </c>
      <c r="I84" s="53">
        <v>4060</v>
      </c>
    </row>
    <row r="85" spans="1:9" s="59" customFormat="1">
      <c r="A85" s="57" t="s">
        <v>193</v>
      </c>
      <c r="B85" s="58"/>
      <c r="I85" s="60"/>
    </row>
    <row r="86" spans="1:9" s="7" customFormat="1">
      <c r="A86" s="12" t="s">
        <v>92</v>
      </c>
      <c r="B86" s="97">
        <v>3370</v>
      </c>
      <c r="C86" s="98">
        <v>3420</v>
      </c>
      <c r="D86" s="98">
        <v>3520</v>
      </c>
      <c r="E86" s="98">
        <v>3680</v>
      </c>
      <c r="F86" s="98">
        <v>3770</v>
      </c>
      <c r="G86" s="98">
        <v>3880</v>
      </c>
      <c r="H86" s="98">
        <v>3940</v>
      </c>
      <c r="I86" s="99">
        <v>4130</v>
      </c>
    </row>
    <row r="87" spans="1:9" s="59" customFormat="1">
      <c r="A87" s="57" t="s">
        <v>194</v>
      </c>
      <c r="B87" s="58"/>
      <c r="I87" s="60"/>
    </row>
    <row r="88" spans="1:9" s="59" customFormat="1">
      <c r="A88" s="57" t="s">
        <v>195</v>
      </c>
      <c r="B88" s="58"/>
      <c r="I88" s="60"/>
    </row>
    <row r="89" spans="1:9" s="59" customFormat="1">
      <c r="A89" s="57" t="s">
        <v>196</v>
      </c>
      <c r="B89" s="58"/>
      <c r="I89" s="60"/>
    </row>
    <row r="90" spans="1:9">
      <c r="A90" s="29" t="s">
        <v>32</v>
      </c>
      <c r="B90" s="51">
        <v>3840</v>
      </c>
      <c r="C90" s="52">
        <v>3860</v>
      </c>
      <c r="D90" s="52">
        <v>3860</v>
      </c>
      <c r="E90" s="52">
        <v>3850</v>
      </c>
      <c r="F90" s="52">
        <v>3860</v>
      </c>
      <c r="G90" s="52">
        <v>3850</v>
      </c>
      <c r="H90" s="52">
        <v>3760</v>
      </c>
      <c r="I90" s="53">
        <v>3690</v>
      </c>
    </row>
    <row r="91" spans="1:9" s="59" customFormat="1">
      <c r="A91" s="57" t="s">
        <v>197</v>
      </c>
      <c r="B91" s="58"/>
      <c r="I91" s="60"/>
    </row>
    <row r="92" spans="1:9" s="59" customFormat="1">
      <c r="A92" s="57" t="s">
        <v>198</v>
      </c>
      <c r="B92" s="58"/>
      <c r="I92" s="60"/>
    </row>
    <row r="93" spans="1:9" s="59" customFormat="1">
      <c r="A93" s="57" t="s">
        <v>199</v>
      </c>
      <c r="B93" s="58"/>
      <c r="I93" s="60"/>
    </row>
    <row r="94" spans="1:9" s="59" customFormat="1">
      <c r="A94" s="57" t="s">
        <v>200</v>
      </c>
      <c r="B94" s="58"/>
      <c r="I94" s="60"/>
    </row>
    <row r="95" spans="1:9">
      <c r="A95" s="29" t="s">
        <v>36</v>
      </c>
      <c r="B95" s="51">
        <v>3370</v>
      </c>
      <c r="C95" s="52">
        <v>3320</v>
      </c>
      <c r="D95" s="52">
        <v>3280</v>
      </c>
      <c r="E95" s="52">
        <v>3250</v>
      </c>
      <c r="F95" s="52">
        <v>3240</v>
      </c>
      <c r="G95" s="52">
        <v>3210</v>
      </c>
      <c r="H95" s="52">
        <v>3200</v>
      </c>
      <c r="I95" s="53">
        <v>3240</v>
      </c>
    </row>
    <row r="96" spans="1:9">
      <c r="A96" s="29" t="s">
        <v>22</v>
      </c>
      <c r="B96" s="51">
        <v>2900</v>
      </c>
      <c r="C96" s="52">
        <v>2920</v>
      </c>
      <c r="D96" s="52">
        <v>2920</v>
      </c>
      <c r="E96" s="52">
        <v>2920</v>
      </c>
      <c r="F96" s="52">
        <v>2950</v>
      </c>
      <c r="G96" s="52">
        <v>2970</v>
      </c>
      <c r="H96" s="52">
        <v>2950</v>
      </c>
      <c r="I96" s="53">
        <v>3020</v>
      </c>
    </row>
    <row r="97" spans="1:9" s="59" customFormat="1">
      <c r="A97" s="57" t="s">
        <v>201</v>
      </c>
      <c r="B97" s="58"/>
      <c r="I97" s="60"/>
    </row>
    <row r="98" spans="1:9" s="59" customFormat="1">
      <c r="A98" s="57" t="s">
        <v>202</v>
      </c>
      <c r="B98" s="58"/>
      <c r="I98" s="60"/>
    </row>
    <row r="99" spans="1:9">
      <c r="A99" s="29" t="s">
        <v>8</v>
      </c>
      <c r="B99" s="51">
        <v>2620</v>
      </c>
      <c r="C99" s="52">
        <v>2660</v>
      </c>
      <c r="D99" s="52">
        <v>2690</v>
      </c>
      <c r="E99" s="52">
        <v>2720</v>
      </c>
      <c r="F99" s="52">
        <v>2770</v>
      </c>
      <c r="G99" s="52">
        <v>2800</v>
      </c>
      <c r="H99" s="52">
        <v>2830</v>
      </c>
      <c r="I99" s="53">
        <v>2830</v>
      </c>
    </row>
    <row r="100" spans="1:9" s="59" customFormat="1">
      <c r="A100" s="57" t="s">
        <v>203</v>
      </c>
      <c r="B100" s="58"/>
      <c r="I100" s="60"/>
    </row>
    <row r="101" spans="1:9">
      <c r="A101" s="29" t="s">
        <v>134</v>
      </c>
      <c r="B101" s="51">
        <v>2260</v>
      </c>
      <c r="C101" s="52">
        <v>2310</v>
      </c>
      <c r="D101" s="52">
        <v>2350</v>
      </c>
      <c r="E101" s="52">
        <v>2360</v>
      </c>
      <c r="F101" s="52">
        <v>2370</v>
      </c>
      <c r="G101" s="52">
        <v>2430</v>
      </c>
      <c r="H101" s="52">
        <v>2460</v>
      </c>
      <c r="I101" s="53">
        <v>2670</v>
      </c>
    </row>
    <row r="102" spans="1:9" s="59" customFormat="1">
      <c r="A102" s="57" t="s">
        <v>204</v>
      </c>
      <c r="B102" s="58"/>
      <c r="I102" s="60"/>
    </row>
    <row r="103" spans="1:9">
      <c r="A103" s="29" t="s">
        <v>19</v>
      </c>
      <c r="B103" s="51">
        <v>2290</v>
      </c>
      <c r="C103" s="52">
        <v>2290</v>
      </c>
      <c r="D103" s="52">
        <v>2290</v>
      </c>
      <c r="E103" s="52">
        <v>2300</v>
      </c>
      <c r="F103" s="52">
        <v>2310</v>
      </c>
      <c r="G103" s="52">
        <v>2350</v>
      </c>
      <c r="H103" s="52">
        <v>2340</v>
      </c>
      <c r="I103" s="53">
        <v>2430</v>
      </c>
    </row>
    <row r="104" spans="1:9" s="59" customFormat="1">
      <c r="A104" s="57" t="s">
        <v>205</v>
      </c>
      <c r="B104" s="58"/>
      <c r="I104" s="60"/>
    </row>
    <row r="105" spans="1:9">
      <c r="A105" s="29" t="s">
        <v>120</v>
      </c>
      <c r="B105" s="51">
        <v>2130</v>
      </c>
      <c r="C105" s="52">
        <v>2120</v>
      </c>
      <c r="D105" s="52">
        <v>2110</v>
      </c>
      <c r="E105" s="52">
        <v>2120</v>
      </c>
      <c r="F105" s="52">
        <v>2130</v>
      </c>
      <c r="G105" s="52">
        <v>2120</v>
      </c>
      <c r="H105" s="52">
        <v>2150</v>
      </c>
      <c r="I105" s="53">
        <v>2240</v>
      </c>
    </row>
    <row r="106" spans="1:9" s="59" customFormat="1">
      <c r="A106" s="57" t="s">
        <v>206</v>
      </c>
      <c r="B106" s="58"/>
      <c r="I106" s="60"/>
    </row>
    <row r="107" spans="1:9" s="59" customFormat="1">
      <c r="A107" s="57" t="s">
        <v>207</v>
      </c>
      <c r="B107" s="58"/>
      <c r="I107" s="60"/>
    </row>
    <row r="108" spans="1:9">
      <c r="A108" s="29" t="s">
        <v>109</v>
      </c>
      <c r="B108" s="51">
        <v>2230</v>
      </c>
      <c r="C108" s="52">
        <v>2200</v>
      </c>
      <c r="D108" s="52">
        <v>2210</v>
      </c>
      <c r="E108" s="52">
        <v>2200</v>
      </c>
      <c r="F108" s="52">
        <v>2190</v>
      </c>
      <c r="G108" s="52">
        <v>2200</v>
      </c>
      <c r="H108" s="52">
        <v>2150</v>
      </c>
      <c r="I108" s="53">
        <v>2110</v>
      </c>
    </row>
    <row r="109" spans="1:9" s="59" customFormat="1">
      <c r="A109" s="57" t="s">
        <v>208</v>
      </c>
      <c r="B109" s="58"/>
      <c r="I109" s="60"/>
    </row>
    <row r="110" spans="1:9" s="59" customFormat="1">
      <c r="A110" s="57" t="s">
        <v>209</v>
      </c>
      <c r="B110" s="58"/>
      <c r="I110" s="60"/>
    </row>
    <row r="111" spans="1:9" s="59" customFormat="1">
      <c r="A111" s="57" t="s">
        <v>210</v>
      </c>
      <c r="B111" s="58"/>
      <c r="I111" s="60"/>
    </row>
    <row r="112" spans="1:9" s="59" customFormat="1">
      <c r="A112" s="57" t="s">
        <v>211</v>
      </c>
      <c r="B112" s="58"/>
      <c r="I112" s="60"/>
    </row>
    <row r="113" spans="1:9">
      <c r="A113" s="29" t="s">
        <v>139</v>
      </c>
      <c r="B113" s="51">
        <v>1930</v>
      </c>
      <c r="C113" s="52">
        <v>1940</v>
      </c>
      <c r="D113" s="52">
        <v>1930</v>
      </c>
      <c r="E113" s="52">
        <v>1940</v>
      </c>
      <c r="F113" s="52">
        <v>1940</v>
      </c>
      <c r="G113" s="52">
        <v>1930</v>
      </c>
      <c r="H113" s="52">
        <v>1930</v>
      </c>
      <c r="I113" s="53">
        <v>1970</v>
      </c>
    </row>
    <row r="114" spans="1:9">
      <c r="A114" s="29" t="s">
        <v>118</v>
      </c>
      <c r="B114" s="51">
        <v>1950</v>
      </c>
      <c r="C114" s="52">
        <v>1960</v>
      </c>
      <c r="D114" s="52">
        <v>1960</v>
      </c>
      <c r="E114" s="52">
        <v>1960</v>
      </c>
      <c r="F114" s="52">
        <v>1960</v>
      </c>
      <c r="G114" s="52">
        <v>2000</v>
      </c>
      <c r="H114" s="52">
        <v>1980</v>
      </c>
      <c r="I114" s="53">
        <v>1970</v>
      </c>
    </row>
    <row r="115" spans="1:9" s="59" customFormat="1">
      <c r="A115" s="57" t="s">
        <v>212</v>
      </c>
      <c r="B115" s="58"/>
      <c r="I115" s="60"/>
    </row>
    <row r="116" spans="1:9">
      <c r="A116" s="29" t="s">
        <v>115</v>
      </c>
      <c r="B116" s="51">
        <v>1850</v>
      </c>
      <c r="C116" s="52">
        <v>1810</v>
      </c>
      <c r="D116" s="52">
        <v>1790</v>
      </c>
      <c r="E116" s="52">
        <v>1770</v>
      </c>
      <c r="F116" s="52">
        <v>1760</v>
      </c>
      <c r="G116" s="52">
        <v>1760</v>
      </c>
      <c r="H116" s="52">
        <v>1810</v>
      </c>
      <c r="I116" s="53">
        <v>1850</v>
      </c>
    </row>
    <row r="117" spans="1:9" s="59" customFormat="1">
      <c r="A117" s="57" t="s">
        <v>213</v>
      </c>
      <c r="B117" s="58"/>
      <c r="I117" s="60"/>
    </row>
    <row r="118" spans="1:9" s="59" customFormat="1">
      <c r="A118" s="57" t="s">
        <v>214</v>
      </c>
      <c r="B118" s="58"/>
      <c r="I118" s="60"/>
    </row>
    <row r="119" spans="1:9" s="59" customFormat="1">
      <c r="A119" s="57" t="s">
        <v>215</v>
      </c>
      <c r="B119" s="58"/>
      <c r="I119" s="60"/>
    </row>
    <row r="120" spans="1:9" s="59" customFormat="1">
      <c r="A120" s="57" t="s">
        <v>216</v>
      </c>
      <c r="B120" s="58"/>
      <c r="I120" s="60"/>
    </row>
    <row r="121" spans="1:9" s="59" customFormat="1">
      <c r="A121" s="57" t="s">
        <v>217</v>
      </c>
      <c r="B121" s="58"/>
      <c r="I121" s="60"/>
    </row>
    <row r="122" spans="1:9" s="59" customFormat="1">
      <c r="A122" s="57" t="s">
        <v>218</v>
      </c>
      <c r="B122" s="58"/>
      <c r="I122" s="60"/>
    </row>
    <row r="123" spans="1:9" s="59" customFormat="1">
      <c r="A123" s="57" t="s">
        <v>9</v>
      </c>
      <c r="B123" s="58"/>
      <c r="I123" s="60"/>
    </row>
    <row r="124" spans="1:9" s="59" customFormat="1">
      <c r="A124" s="57" t="s">
        <v>219</v>
      </c>
      <c r="B124" s="58"/>
      <c r="I124" s="60"/>
    </row>
    <row r="125" spans="1:9">
      <c r="A125" s="29" t="s">
        <v>55</v>
      </c>
      <c r="B125" s="51">
        <v>1840</v>
      </c>
      <c r="C125" s="52">
        <v>1830</v>
      </c>
      <c r="D125" s="52">
        <v>1820</v>
      </c>
      <c r="E125" s="52">
        <v>1820</v>
      </c>
      <c r="F125" s="52">
        <v>1810</v>
      </c>
      <c r="G125" s="52">
        <v>1800</v>
      </c>
      <c r="H125" s="52">
        <v>1740</v>
      </c>
      <c r="I125" s="53">
        <v>1690</v>
      </c>
    </row>
    <row r="126" spans="1:9" s="59" customFormat="1">
      <c r="A126" s="57" t="s">
        <v>116</v>
      </c>
      <c r="B126" s="58"/>
      <c r="I126" s="68"/>
    </row>
    <row r="127" spans="1:9" s="59" customFormat="1">
      <c r="A127" s="57" t="s">
        <v>220</v>
      </c>
      <c r="B127" s="58"/>
      <c r="I127" s="60"/>
    </row>
    <row r="128" spans="1:9" s="59" customFormat="1">
      <c r="A128" s="57" t="s">
        <v>221</v>
      </c>
      <c r="B128" s="58"/>
      <c r="I128" s="60"/>
    </row>
    <row r="129" spans="1:9" s="59" customFormat="1">
      <c r="A129" s="57" t="s">
        <v>222</v>
      </c>
      <c r="B129" s="58"/>
      <c r="I129" s="60"/>
    </row>
    <row r="130" spans="1:9" s="59" customFormat="1">
      <c r="A130" s="57" t="s">
        <v>223</v>
      </c>
      <c r="B130" s="58"/>
      <c r="I130" s="60"/>
    </row>
    <row r="131" spans="1:9" s="59" customFormat="1">
      <c r="A131" s="57" t="s">
        <v>117</v>
      </c>
      <c r="B131" s="58"/>
      <c r="I131" s="60"/>
    </row>
    <row r="132" spans="1:9" s="59" customFormat="1">
      <c r="A132" s="57" t="s">
        <v>224</v>
      </c>
      <c r="B132" s="58"/>
      <c r="I132" s="60"/>
    </row>
    <row r="133" spans="1:9" s="59" customFormat="1">
      <c r="A133" s="57" t="s">
        <v>225</v>
      </c>
      <c r="B133" s="58"/>
      <c r="I133" s="60"/>
    </row>
    <row r="134" spans="1:9" s="59" customFormat="1">
      <c r="A134" s="57" t="s">
        <v>226</v>
      </c>
      <c r="B134" s="58"/>
      <c r="I134" s="60"/>
    </row>
    <row r="135" spans="1:9" s="59" customFormat="1">
      <c r="A135" s="57" t="s">
        <v>227</v>
      </c>
      <c r="B135" s="58"/>
      <c r="I135" s="60"/>
    </row>
    <row r="136" spans="1:9" s="59" customFormat="1">
      <c r="A136" s="57" t="s">
        <v>228</v>
      </c>
      <c r="B136" s="58"/>
      <c r="I136" s="60"/>
    </row>
    <row r="137" spans="1:9" s="59" customFormat="1">
      <c r="A137" s="57" t="s">
        <v>229</v>
      </c>
      <c r="B137" s="58"/>
      <c r="I137" s="60"/>
    </row>
    <row r="138" spans="1:9" s="59" customFormat="1">
      <c r="A138" s="57" t="s">
        <v>230</v>
      </c>
      <c r="B138" s="58"/>
      <c r="I138" s="60"/>
    </row>
    <row r="139" spans="1:9" s="59" customFormat="1">
      <c r="A139" s="57" t="s">
        <v>231</v>
      </c>
      <c r="B139" s="58"/>
      <c r="I139" s="60"/>
    </row>
    <row r="140" spans="1:9" s="59" customFormat="1">
      <c r="A140" s="57" t="s">
        <v>232</v>
      </c>
      <c r="B140" s="58"/>
      <c r="I140" s="60"/>
    </row>
    <row r="141" spans="1:9">
      <c r="A141" s="29" t="s">
        <v>76</v>
      </c>
      <c r="B141" s="51">
        <v>970</v>
      </c>
      <c r="C141" s="52">
        <v>980</v>
      </c>
      <c r="D141" s="52">
        <v>980</v>
      </c>
      <c r="E141" s="52">
        <v>970</v>
      </c>
      <c r="F141" s="52">
        <v>970</v>
      </c>
      <c r="G141" s="52">
        <v>970</v>
      </c>
      <c r="H141" s="52">
        <v>990</v>
      </c>
      <c r="I141" s="53">
        <v>1000</v>
      </c>
    </row>
    <row r="142" spans="1:9">
      <c r="A142" s="35" t="s">
        <v>136</v>
      </c>
      <c r="B142" s="51">
        <v>940</v>
      </c>
      <c r="C142" s="52">
        <v>960</v>
      </c>
      <c r="D142" s="52">
        <v>970</v>
      </c>
      <c r="E142" s="52">
        <v>970</v>
      </c>
      <c r="F142" s="52">
        <v>960</v>
      </c>
      <c r="G142" s="52">
        <v>980</v>
      </c>
      <c r="H142" s="52">
        <v>1000</v>
      </c>
      <c r="I142" s="53">
        <v>1040</v>
      </c>
    </row>
    <row r="143" spans="1:9" s="59" customFormat="1">
      <c r="A143" s="57" t="s">
        <v>233</v>
      </c>
      <c r="B143" s="58"/>
      <c r="I143" s="60"/>
    </row>
    <row r="144" spans="1:9" s="59" customFormat="1">
      <c r="A144" s="57" t="s">
        <v>234</v>
      </c>
      <c r="B144" s="58"/>
      <c r="I144" s="60"/>
    </row>
    <row r="145" spans="1:9" s="59" customFormat="1">
      <c r="A145" s="57" t="s">
        <v>235</v>
      </c>
      <c r="B145" s="58"/>
      <c r="I145" s="60"/>
    </row>
    <row r="146" spans="1:9">
      <c r="A146" s="35" t="s">
        <v>112</v>
      </c>
      <c r="B146" s="51">
        <v>960</v>
      </c>
      <c r="C146" s="52">
        <v>960</v>
      </c>
      <c r="D146" s="52">
        <v>950</v>
      </c>
      <c r="E146" s="52">
        <v>950</v>
      </c>
      <c r="F146" s="52">
        <v>940</v>
      </c>
      <c r="G146" s="52">
        <v>940</v>
      </c>
      <c r="H146" s="52">
        <v>960</v>
      </c>
      <c r="I146" s="53">
        <v>950</v>
      </c>
    </row>
    <row r="147" spans="1:9" s="59" customFormat="1">
      <c r="A147" s="57" t="s">
        <v>236</v>
      </c>
      <c r="B147" s="58"/>
      <c r="I147" s="60"/>
    </row>
    <row r="148" spans="1:9" s="59" customFormat="1">
      <c r="A148" s="57" t="s">
        <v>237</v>
      </c>
      <c r="B148" s="58"/>
      <c r="I148" s="60"/>
    </row>
    <row r="149" spans="1:9" s="59" customFormat="1">
      <c r="A149" s="57" t="s">
        <v>238</v>
      </c>
      <c r="B149" s="58"/>
      <c r="I149" s="60"/>
    </row>
    <row r="150" spans="1:9" s="59" customFormat="1">
      <c r="A150" s="57" t="s">
        <v>239</v>
      </c>
      <c r="B150" s="58"/>
      <c r="I150" s="60"/>
    </row>
    <row r="151" spans="1:9" s="59" customFormat="1">
      <c r="A151" s="59" t="s">
        <v>119</v>
      </c>
      <c r="B151" s="58"/>
      <c r="I151" s="60"/>
    </row>
    <row r="152" spans="1:9">
      <c r="A152" s="35" t="s">
        <v>143</v>
      </c>
      <c r="B152" s="51">
        <v>720</v>
      </c>
      <c r="C152" s="52">
        <v>710</v>
      </c>
      <c r="D152" s="52">
        <v>700</v>
      </c>
      <c r="E152" s="52">
        <v>680</v>
      </c>
      <c r="F152" s="52">
        <v>670</v>
      </c>
      <c r="G152" s="52">
        <v>660</v>
      </c>
      <c r="H152" s="52">
        <v>680</v>
      </c>
      <c r="I152" s="53">
        <v>710</v>
      </c>
    </row>
    <row r="153" spans="1:9" s="7" customFormat="1">
      <c r="A153" s="12" t="s">
        <v>72</v>
      </c>
      <c r="B153" s="54">
        <v>450</v>
      </c>
      <c r="C153" s="55">
        <v>440</v>
      </c>
      <c r="D153" s="55">
        <v>430</v>
      </c>
      <c r="E153" s="55">
        <v>430</v>
      </c>
      <c r="F153" s="55">
        <v>420</v>
      </c>
      <c r="G153" s="55">
        <v>420</v>
      </c>
      <c r="H153" s="55">
        <v>400</v>
      </c>
      <c r="I153" s="56">
        <v>420</v>
      </c>
    </row>
    <row r="154" spans="1:9">
      <c r="A154" s="35" t="s">
        <v>141</v>
      </c>
      <c r="B154" s="51">
        <v>120</v>
      </c>
      <c r="C154" s="52">
        <v>120</v>
      </c>
      <c r="D154" s="52">
        <v>120</v>
      </c>
      <c r="E154" s="52">
        <v>130</v>
      </c>
      <c r="F154" s="52">
        <v>130</v>
      </c>
      <c r="G154" s="52">
        <v>130</v>
      </c>
      <c r="H154" s="52">
        <v>140</v>
      </c>
      <c r="I154" s="53">
        <v>130</v>
      </c>
    </row>
    <row r="155" spans="1:9" s="89" customFormat="1">
      <c r="A155" s="88" t="s">
        <v>271</v>
      </c>
      <c r="B155" s="61"/>
      <c r="C155" s="61"/>
      <c r="D155" s="61"/>
      <c r="E155" s="61"/>
      <c r="F155" s="61"/>
      <c r="G155" s="61"/>
      <c r="H155" s="61"/>
      <c r="I155" s="61"/>
    </row>
    <row r="156" spans="1:9" s="59" customFormat="1">
      <c r="A156" s="57" t="s">
        <v>133</v>
      </c>
      <c r="B156" s="61"/>
      <c r="C156" s="61"/>
      <c r="D156" s="61"/>
      <c r="E156" s="61"/>
      <c r="F156" s="61"/>
      <c r="G156" s="61"/>
      <c r="H156" s="61"/>
      <c r="I156" s="61"/>
    </row>
    <row r="157" spans="1:9" s="59" customFormat="1" ht="15.75" thickBot="1">
      <c r="A157" s="57" t="s">
        <v>240</v>
      </c>
      <c r="B157" s="69"/>
      <c r="C157" s="70"/>
      <c r="D157" s="70"/>
      <c r="E157" s="70"/>
      <c r="F157" s="70"/>
      <c r="G157" s="70"/>
      <c r="H157" s="70"/>
      <c r="I157" s="71"/>
    </row>
    <row r="158" spans="1:9">
      <c r="A158" s="26" t="s">
        <v>280</v>
      </c>
      <c r="B158" s="33"/>
      <c r="C158" s="33"/>
      <c r="D158" s="33"/>
      <c r="E158" s="33"/>
      <c r="F158" s="33"/>
      <c r="G158" s="33"/>
      <c r="H158" s="33"/>
      <c r="I158" s="31"/>
    </row>
    <row r="159" spans="1:9">
      <c r="A159" s="33"/>
      <c r="B159" s="32"/>
      <c r="C159" s="32"/>
      <c r="D159" s="32"/>
      <c r="E159" s="32"/>
      <c r="F159" s="32"/>
      <c r="G159" s="32"/>
      <c r="H159" s="32"/>
      <c r="I159" s="32"/>
    </row>
    <row r="160" spans="1:9">
      <c r="A160" s="33"/>
      <c r="B160" s="33"/>
      <c r="C160" s="33"/>
      <c r="D160" s="33"/>
      <c r="E160" s="33"/>
      <c r="F160" s="33"/>
      <c r="G160" s="33"/>
      <c r="H160" s="33"/>
      <c r="I160" s="31"/>
    </row>
    <row r="161" spans="1:16">
      <c r="A161" s="29"/>
      <c r="I161" s="31"/>
    </row>
    <row r="162" spans="1:16">
      <c r="A162" s="29"/>
      <c r="I162" s="31"/>
    </row>
    <row r="163" spans="1:16">
      <c r="A163" s="29"/>
      <c r="I163" s="31"/>
    </row>
    <row r="164" spans="1:16">
      <c r="A164" s="29"/>
      <c r="I164" s="31"/>
    </row>
    <row r="165" spans="1:16">
      <c r="A165" s="29"/>
      <c r="B165" s="31"/>
      <c r="C165" s="31"/>
      <c r="D165" s="31"/>
      <c r="E165" s="31"/>
      <c r="F165" s="31"/>
      <c r="G165" s="31"/>
      <c r="H165" s="31"/>
      <c r="I165" s="31"/>
    </row>
    <row r="166" spans="1:16">
      <c r="B166" s="33"/>
      <c r="C166" s="33"/>
      <c r="D166" s="33"/>
      <c r="E166" s="33"/>
      <c r="F166" s="33"/>
      <c r="G166" s="33"/>
      <c r="H166" s="33"/>
      <c r="I166" s="31"/>
      <c r="J166" s="52"/>
      <c r="K166" s="52"/>
      <c r="L166" s="52"/>
      <c r="M166" s="52"/>
      <c r="N166" s="52"/>
      <c r="O166" s="52"/>
      <c r="P166" s="52"/>
    </row>
    <row r="167" spans="1:16">
      <c r="A167" s="33"/>
      <c r="B167" s="33"/>
      <c r="C167" s="33"/>
      <c r="D167" s="33"/>
      <c r="E167" s="33"/>
      <c r="F167" s="33"/>
      <c r="G167" s="33"/>
      <c r="H167" s="33"/>
      <c r="I167" s="31"/>
      <c r="J167" s="52"/>
      <c r="K167" s="52"/>
      <c r="L167" s="52"/>
      <c r="M167" s="52"/>
      <c r="N167" s="52"/>
      <c r="O167" s="52"/>
      <c r="P167" s="52"/>
    </row>
    <row r="168" spans="1:16">
      <c r="A168" s="29"/>
      <c r="I168" s="31"/>
      <c r="J168" s="78"/>
      <c r="K168" s="78"/>
      <c r="L168" s="78"/>
      <c r="M168" s="78"/>
      <c r="N168" s="78"/>
      <c r="O168" s="78"/>
      <c r="P168" s="78"/>
    </row>
    <row r="169" spans="1:16">
      <c r="A169" s="29"/>
      <c r="B169" s="31"/>
      <c r="C169" s="31"/>
      <c r="D169" s="31"/>
      <c r="E169" s="31"/>
      <c r="F169" s="31"/>
      <c r="G169" s="31"/>
      <c r="H169" s="31"/>
      <c r="I169" s="31"/>
    </row>
    <row r="170" spans="1:16">
      <c r="B170" s="33"/>
      <c r="C170" s="33"/>
      <c r="D170" s="33"/>
      <c r="E170" s="33"/>
      <c r="F170" s="33"/>
      <c r="G170" s="33"/>
      <c r="H170" s="33"/>
      <c r="I170" s="31"/>
    </row>
    <row r="171" spans="1:16">
      <c r="A171" s="29"/>
      <c r="B171" s="31"/>
      <c r="C171" s="31"/>
      <c r="D171" s="31"/>
      <c r="E171" s="31"/>
      <c r="F171" s="31"/>
      <c r="G171" s="31"/>
      <c r="H171" s="31"/>
      <c r="I171" s="31"/>
    </row>
    <row r="172" spans="1:16">
      <c r="B172" s="33"/>
      <c r="C172" s="33"/>
      <c r="D172" s="33"/>
      <c r="E172" s="33"/>
      <c r="F172" s="33"/>
      <c r="G172" s="33"/>
      <c r="H172" s="33"/>
      <c r="I172" s="31"/>
    </row>
    <row r="173" spans="1:16">
      <c r="A173" s="29"/>
      <c r="B173" s="31"/>
      <c r="C173" s="31"/>
      <c r="D173" s="31"/>
      <c r="E173" s="31"/>
      <c r="F173" s="31"/>
      <c r="G173" s="31"/>
      <c r="H173" s="31"/>
      <c r="I173" s="31"/>
    </row>
    <row r="174" spans="1:16">
      <c r="B174" s="33"/>
      <c r="C174" s="33"/>
      <c r="D174" s="33"/>
      <c r="E174" s="33"/>
      <c r="F174" s="33"/>
      <c r="G174" s="33"/>
      <c r="H174" s="33"/>
      <c r="I174" s="31"/>
    </row>
    <row r="175" spans="1:16">
      <c r="B175" s="33"/>
      <c r="C175" s="33"/>
      <c r="D175" s="33"/>
      <c r="E175" s="33"/>
      <c r="F175" s="33"/>
      <c r="G175" s="33"/>
      <c r="H175" s="33"/>
      <c r="I175" s="31"/>
    </row>
    <row r="176" spans="1:16">
      <c r="B176" s="33"/>
      <c r="C176" s="33"/>
      <c r="D176" s="33"/>
      <c r="E176" s="33"/>
      <c r="F176" s="33"/>
      <c r="G176" s="33"/>
      <c r="H176" s="33"/>
      <c r="I176" s="31"/>
    </row>
    <row r="177" spans="2:9">
      <c r="B177" s="33"/>
      <c r="C177" s="33"/>
      <c r="D177" s="33"/>
      <c r="E177" s="33"/>
      <c r="F177" s="33"/>
      <c r="G177" s="33"/>
      <c r="H177" s="33"/>
      <c r="I177" s="31"/>
    </row>
    <row r="178" spans="2:9">
      <c r="B178" s="33"/>
      <c r="C178" s="33"/>
      <c r="D178" s="33"/>
      <c r="E178" s="33"/>
      <c r="F178" s="33"/>
      <c r="G178" s="33"/>
      <c r="H178" s="33"/>
      <c r="I178" s="31"/>
    </row>
    <row r="179" spans="2:9">
      <c r="B179" s="33"/>
      <c r="C179" s="33"/>
      <c r="D179" s="33"/>
      <c r="E179" s="33"/>
      <c r="F179" s="33"/>
      <c r="G179" s="33"/>
      <c r="H179" s="33"/>
      <c r="I179" s="31"/>
    </row>
  </sheetData>
  <sortState ref="A4:K152">
    <sortCondition descending="1" ref="I4:I152"/>
  </sortState>
  <customSheetViews>
    <customSheetView guid="{49FAD1FC-B127-4C82-8D4A-0275FF7C3CEE}">
      <pane xSplit="3" ySplit="3" topLeftCell="D4" activePane="bottomRight" state="frozen"/>
      <selection pane="bottomRight"/>
      <pageMargins left="0.7" right="0.7" top="0.75" bottom="0.75" header="0.3" footer="0.3"/>
    </customSheetView>
    <customSheetView guid="{928159B0-05E8-465E-A540-962C8FD8BCB1}" showPageBreaks="1">
      <pane xSplit="3" ySplit="3" topLeftCell="D4" activePane="bottomRight" state="frozen"/>
      <selection pane="bottomRight"/>
      <pageMargins left="0.7" right="0.7" top="0.75" bottom="0.75" header="0.3" footer="0.3"/>
    </customSheetView>
    <customSheetView guid="{F250E2F8-6B86-456F-B514-F3BFB5AE941A}">
      <pane xSplit="3" ySplit="3" topLeftCell="D4" activePane="bottomRight" state="frozen"/>
      <selection pane="bottomRight" activeCell="D1" sqref="D1"/>
      <pageMargins left="0.7" right="0.7" top="0.75" bottom="0.75" header="0.3" footer="0.3"/>
    </customSheetView>
    <customSheetView guid="{7DDE176A-57E3-4883-B650-6417AB131A8F}">
      <pane xSplit="3" ySplit="3" topLeftCell="D4" activePane="bottomRight" state="frozen"/>
      <selection pane="bottomRight" activeCell="D1" sqref="D1"/>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
  <sheetViews>
    <sheetView tabSelected="1" zoomScale="80" zoomScaleNormal="80" workbookViewId="0">
      <pane xSplit="1" ySplit="6" topLeftCell="B7" activePane="bottomRight" state="frozen"/>
      <selection pane="topRight" activeCell="B1" sqref="B1"/>
      <selection pane="bottomLeft" activeCell="A4" sqref="A4"/>
      <selection pane="bottomRight" activeCell="B7" sqref="B7"/>
    </sheetView>
  </sheetViews>
  <sheetFormatPr defaultRowHeight="15"/>
  <cols>
    <col min="1" max="1" width="30.28515625" bestFit="1" customWidth="1"/>
    <col min="2" max="2" width="18.42578125" bestFit="1" customWidth="1"/>
    <col min="3" max="3" width="17.28515625" customWidth="1"/>
    <col min="4" max="4" width="10.28515625" bestFit="1" customWidth="1"/>
    <col min="5" max="7" width="8" bestFit="1" customWidth="1"/>
    <col min="8" max="11" width="5.5703125" bestFit="1" customWidth="1"/>
    <col min="12" max="18" width="8.7109375" bestFit="1" customWidth="1"/>
    <col min="20" max="20" width="13" bestFit="1" customWidth="1"/>
    <col min="21" max="21" width="8.85546875" customWidth="1"/>
    <col min="22" max="22" width="9.28515625" customWidth="1"/>
  </cols>
  <sheetData>
    <row r="1" spans="1:28" s="22" customFormat="1" ht="21">
      <c r="E1" s="109" t="s">
        <v>268</v>
      </c>
      <c r="F1" s="110"/>
      <c r="G1" s="110"/>
      <c r="H1" s="110"/>
      <c r="I1" s="110"/>
      <c r="J1" s="110"/>
      <c r="K1" s="111"/>
      <c r="L1" s="90">
        <v>2006</v>
      </c>
      <c r="M1" s="90">
        <v>2007</v>
      </c>
      <c r="N1" s="90">
        <v>2008</v>
      </c>
      <c r="O1" s="90">
        <v>2009</v>
      </c>
      <c r="P1" s="90">
        <v>2010</v>
      </c>
      <c r="Q1" s="90">
        <v>2011</v>
      </c>
      <c r="R1" s="90">
        <v>2012</v>
      </c>
      <c r="T1"/>
      <c r="U1"/>
      <c r="V1"/>
      <c r="W1"/>
      <c r="X1"/>
      <c r="Y1"/>
      <c r="Z1"/>
      <c r="AA1"/>
      <c r="AB1"/>
    </row>
    <row r="2" spans="1:28" s="22" customFormat="1" ht="21.75" thickBot="1">
      <c r="E2" s="112" t="s">
        <v>272</v>
      </c>
      <c r="F2" s="113"/>
      <c r="G2" s="113"/>
      <c r="H2" s="113"/>
      <c r="I2" s="113"/>
      <c r="J2" s="113"/>
      <c r="K2" s="114"/>
      <c r="L2" s="91">
        <f>SUMPRODUCT(E7:E87,L7:L87)/SUM(L7:L87)</f>
        <v>16.991878164973453</v>
      </c>
      <c r="M2" s="91">
        <f>SUMPRODUCT(F7:F87,M7:M87)/SUM(M7:M87)</f>
        <v>16.947598229639492</v>
      </c>
      <c r="N2" s="91">
        <f>SUMPRODUCT(G7:G87,N7:N87)/SUM(N7:N87)</f>
        <v>16.9109017124091</v>
      </c>
      <c r="O2" s="91">
        <f>SUMPRODUCT(H7:H87,O7:O87)/SUM(O7:O87)</f>
        <v>16.389098557495572</v>
      </c>
      <c r="P2" s="91">
        <f>SUMPRODUCT(I7:I87,P7:P87)/SUM(P7:P87)</f>
        <v>15.686400089262051</v>
      </c>
      <c r="Q2" s="91">
        <f>SUMPRODUCT(J7:J87,Q7:Q87)/SUM(Q7:Q87)</f>
        <v>16.028178297710291</v>
      </c>
      <c r="R2" s="91">
        <f>SUMPRODUCT(K7:K87,R7:R87)/SUM(R7:R87)</f>
        <v>15.643060104161188</v>
      </c>
      <c r="T2"/>
      <c r="U2"/>
      <c r="V2"/>
      <c r="W2"/>
      <c r="X2"/>
      <c r="Y2"/>
      <c r="Z2"/>
      <c r="AA2"/>
      <c r="AB2"/>
    </row>
    <row r="3" spans="1:28" s="22" customFormat="1">
      <c r="A3" s="87"/>
      <c r="B3" s="23"/>
      <c r="C3" s="23"/>
      <c r="K3" s="30"/>
      <c r="L3" s="24"/>
      <c r="M3" s="24"/>
      <c r="N3" s="24"/>
      <c r="O3" s="24"/>
      <c r="P3" s="24"/>
      <c r="Q3" s="24"/>
      <c r="R3" s="24"/>
      <c r="T3"/>
      <c r="U3"/>
      <c r="V3"/>
      <c r="W3"/>
      <c r="X3"/>
      <c r="Y3"/>
      <c r="Z3"/>
      <c r="AA3"/>
      <c r="AB3"/>
    </row>
    <row r="4" spans="1:28" s="22" customFormat="1" ht="15.75" thickBot="1">
      <c r="A4" s="87"/>
      <c r="B4" s="23"/>
      <c r="C4" s="23"/>
      <c r="E4" s="24"/>
      <c r="F4" s="24"/>
      <c r="G4" s="24"/>
      <c r="H4" s="24"/>
      <c r="I4" s="24"/>
      <c r="J4" s="24"/>
      <c r="K4" s="24"/>
      <c r="L4" s="30"/>
      <c r="M4" s="30"/>
      <c r="N4" s="30"/>
      <c r="O4" s="30"/>
      <c r="P4" s="24"/>
      <c r="T4"/>
      <c r="U4"/>
      <c r="V4"/>
      <c r="W4"/>
      <c r="X4"/>
      <c r="Y4"/>
      <c r="Z4"/>
      <c r="AA4"/>
      <c r="AB4"/>
    </row>
    <row r="5" spans="1:28" s="22" customFormat="1" ht="15.75" thickBot="1">
      <c r="A5" s="117" t="s">
        <v>241</v>
      </c>
      <c r="B5" s="117" t="s">
        <v>242</v>
      </c>
      <c r="C5" s="115" t="s">
        <v>253</v>
      </c>
      <c r="D5" s="119" t="s">
        <v>264</v>
      </c>
      <c r="E5" s="121" t="s">
        <v>262</v>
      </c>
      <c r="F5" s="107"/>
      <c r="G5" s="107"/>
      <c r="H5" s="107"/>
      <c r="I5" s="107"/>
      <c r="J5" s="107"/>
      <c r="K5" s="107"/>
      <c r="L5" s="106" t="s">
        <v>245</v>
      </c>
      <c r="M5" s="107"/>
      <c r="N5" s="107"/>
      <c r="O5" s="107"/>
      <c r="P5" s="107"/>
      <c r="Q5" s="107"/>
      <c r="R5" s="108"/>
      <c r="T5"/>
      <c r="U5"/>
      <c r="V5"/>
      <c r="W5"/>
      <c r="X5"/>
      <c r="Y5"/>
      <c r="Z5"/>
      <c r="AA5"/>
      <c r="AB5"/>
    </row>
    <row r="6" spans="1:28" s="22" customFormat="1" ht="15.75" thickBot="1">
      <c r="A6" s="118"/>
      <c r="B6" s="122"/>
      <c r="C6" s="116"/>
      <c r="D6" s="120"/>
      <c r="E6" s="92">
        <v>2006</v>
      </c>
      <c r="F6" s="93">
        <v>2007</v>
      </c>
      <c r="G6" s="93">
        <v>2008</v>
      </c>
      <c r="H6" s="93">
        <v>2009</v>
      </c>
      <c r="I6" s="93">
        <v>2010</v>
      </c>
      <c r="J6" s="93">
        <v>2011</v>
      </c>
      <c r="K6" s="93">
        <v>2012</v>
      </c>
      <c r="L6" s="94">
        <v>2006</v>
      </c>
      <c r="M6" s="79">
        <v>2007</v>
      </c>
      <c r="N6" s="79">
        <v>2008</v>
      </c>
      <c r="O6" s="79">
        <v>2009</v>
      </c>
      <c r="P6" s="79">
        <v>2010</v>
      </c>
      <c r="Q6" s="79">
        <v>2011</v>
      </c>
      <c r="R6" s="95">
        <v>2012</v>
      </c>
      <c r="T6"/>
      <c r="U6"/>
      <c r="V6"/>
      <c r="W6"/>
      <c r="X6"/>
      <c r="Y6"/>
      <c r="Z6"/>
      <c r="AA6"/>
      <c r="AB6"/>
    </row>
    <row r="7" spans="1:28" s="50" customFormat="1">
      <c r="A7" s="96" t="s">
        <v>77</v>
      </c>
      <c r="B7" s="123" t="s">
        <v>10</v>
      </c>
      <c r="C7" s="124" t="s">
        <v>250</v>
      </c>
      <c r="D7" s="125" t="s">
        <v>265</v>
      </c>
      <c r="E7" s="126">
        <f>VLOOKUP($A7,'Annual Mean'!$A$3:$L$83,6,FALSE)</f>
        <v>12.2</v>
      </c>
      <c r="F7" s="127">
        <f>VLOOKUP($A7,'Annual Mean'!$A$3:$L$83,7,FALSE)</f>
        <v>12.1</v>
      </c>
      <c r="G7" s="127">
        <f>VLOOKUP($A7,'Annual Mean'!$A$3:$L$83,8,FALSE)</f>
        <v>12.1</v>
      </c>
      <c r="H7" s="127">
        <f>VLOOKUP($A7,'Annual Mean'!$A$3:$L$83,9,FALSE)</f>
        <v>11.9</v>
      </c>
      <c r="I7" s="127">
        <f>VLOOKUP($A7,'Annual Mean'!$A$3:$L$83,10,FALSE)</f>
        <v>11.2</v>
      </c>
      <c r="J7" s="127">
        <f>VLOOKUP($A7,'Annual Mean'!$A$3:$L$83,11,FALSE)</f>
        <v>11.5</v>
      </c>
      <c r="K7" s="127">
        <f>VLOOKUP($A7,'Annual Mean'!$A$3:$L$83,12,FALSE)</f>
        <v>11.4</v>
      </c>
      <c r="L7" s="128">
        <f>IF(ISNUMBER(E7),VLOOKUP($B7,'Represented Populations'!$A$4:$I$157,2,FALSE)/COUNT(E$7:E$18),0)</f>
        <v>159100</v>
      </c>
      <c r="M7" s="129">
        <f>IF(ISNUMBER(F7),VLOOKUP($B7,'Represented Populations'!$A$4:$I$157,3,FALSE)/COUNT(F$7:F$18),0)</f>
        <v>143777.77777777778</v>
      </c>
      <c r="N7" s="129">
        <f>IF(ISNUMBER(G7),VLOOKUP($B7,'Represented Populations'!$A$4:$I$157,4,FALSE)/COUNT(G$7:G$18),0)</f>
        <v>131310</v>
      </c>
      <c r="O7" s="129">
        <f>IF(ISNUMBER(H7),VLOOKUP($B7,'Represented Populations'!$A$4:$I$157,5,FALSE)/COUNT(H$7:H$18),0)</f>
        <v>133330</v>
      </c>
      <c r="P7" s="129">
        <f>IF(ISNUMBER(I7),VLOOKUP($B7,'Represented Populations'!$A$4:$I$157,6,FALSE)/COUNT(I$7:I$18),0)</f>
        <v>135490</v>
      </c>
      <c r="Q7" s="129">
        <f>IF(ISNUMBER(J7),VLOOKUP($B7,'Represented Populations'!$A$4:$I$157,7,FALSE)/COUNT(J$7:J$18),0)</f>
        <v>125190.90909090909</v>
      </c>
      <c r="R7" s="130">
        <f>IF(ISNUMBER(K7),VLOOKUP($B7,'Represented Populations'!$A$4:$I$157,8,FALSE)/COUNT(K$7:K$18),0)</f>
        <v>127027.27272727272</v>
      </c>
      <c r="S7" s="28"/>
      <c r="T7" s="28"/>
      <c r="U7" s="28"/>
      <c r="V7" s="28"/>
      <c r="W7" s="28"/>
      <c r="X7" s="28"/>
      <c r="Y7" s="28"/>
      <c r="Z7" s="28"/>
      <c r="AA7" s="28"/>
      <c r="AB7" s="28"/>
    </row>
    <row r="8" spans="1:28" s="50" customFormat="1">
      <c r="A8" s="48" t="s">
        <v>78</v>
      </c>
      <c r="B8" s="72" t="s">
        <v>10</v>
      </c>
      <c r="C8" s="40" t="s">
        <v>250</v>
      </c>
      <c r="D8" s="81" t="s">
        <v>265</v>
      </c>
      <c r="E8" s="131">
        <f>VLOOKUP($A8,'Annual Mean'!$A$3:$L$83,6,FALSE)</f>
        <v>13.3</v>
      </c>
      <c r="F8" s="132">
        <f>VLOOKUP($A8,'Annual Mean'!$A$3:$L$83,7,FALSE)</f>
        <v>12.8</v>
      </c>
      <c r="G8" s="132">
        <f>VLOOKUP($A8,'Annual Mean'!$A$3:$L$83,8,FALSE)</f>
        <v>13.8</v>
      </c>
      <c r="H8" s="132">
        <f>VLOOKUP($A8,'Annual Mean'!$A$3:$L$83,9,FALSE)</f>
        <v>13.6</v>
      </c>
      <c r="I8" s="132">
        <f>VLOOKUP($A8,'Annual Mean'!$A$3:$L$83,10,FALSE)</f>
        <v>13.6</v>
      </c>
      <c r="J8" s="132">
        <f>VLOOKUP($A8,'Annual Mean'!$A$3:$L$83,11,FALSE)</f>
        <v>13.4</v>
      </c>
      <c r="K8" s="132">
        <f>VLOOKUP($A8,'Annual Mean'!$A$3:$L$83,12,FALSE)</f>
        <v>13.6</v>
      </c>
      <c r="L8" s="100">
        <f>IF(ISNUMBER(E8),VLOOKUP($B8,'Represented Populations'!$A$4:$I$157,2,FALSE)/COUNT(E$7:E$18),0)</f>
        <v>159100</v>
      </c>
      <c r="M8" s="49">
        <f>IF(ISNUMBER(F8),VLOOKUP($B8,'Represented Populations'!$A$4:$I$157,3,FALSE)/COUNT(F$7:F$18),0)</f>
        <v>143777.77777777778</v>
      </c>
      <c r="N8" s="49">
        <f>IF(ISNUMBER(G8),VLOOKUP($B8,'Represented Populations'!$A$4:$I$157,4,FALSE)/COUNT(G$7:G$18),0)</f>
        <v>131310</v>
      </c>
      <c r="O8" s="49">
        <f>IF(ISNUMBER(H8),VLOOKUP($B8,'Represented Populations'!$A$4:$I$157,5,FALSE)/COUNT(H$7:H$18),0)</f>
        <v>133330</v>
      </c>
      <c r="P8" s="49">
        <f>IF(ISNUMBER(I8),VLOOKUP($B8,'Represented Populations'!$A$4:$I$157,6,FALSE)/COUNT(I$7:I$18),0)</f>
        <v>135490</v>
      </c>
      <c r="Q8" s="49">
        <f>IF(ISNUMBER(J8),VLOOKUP($B8,'Represented Populations'!$A$4:$I$157,7,FALSE)/COUNT(J$7:J$18),0)</f>
        <v>125190.90909090909</v>
      </c>
      <c r="R8" s="42">
        <f>IF(ISNUMBER(K8),VLOOKUP($B8,'Represented Populations'!$A$4:$I$157,8,FALSE)/COUNT(K$7:K$18),0)</f>
        <v>127027.27272727272</v>
      </c>
      <c r="S8" s="28"/>
      <c r="T8" s="28"/>
      <c r="U8" s="28"/>
      <c r="V8" s="28"/>
      <c r="W8" s="28"/>
      <c r="X8" s="28"/>
      <c r="Y8" s="28"/>
      <c r="Z8" s="28"/>
      <c r="AA8" s="28"/>
      <c r="AB8" s="28"/>
    </row>
    <row r="9" spans="1:28" s="50" customFormat="1">
      <c r="A9" s="48" t="s">
        <v>79</v>
      </c>
      <c r="B9" s="72" t="s">
        <v>10</v>
      </c>
      <c r="C9" s="40" t="s">
        <v>250</v>
      </c>
      <c r="D9" s="81" t="s">
        <v>265</v>
      </c>
      <c r="E9" s="131">
        <f>VLOOKUP($A9,'Annual Mean'!$A$3:$L$83,6,FALSE)</f>
        <v>16.600000000000001</v>
      </c>
      <c r="F9" s="132">
        <f>VLOOKUP($A9,'Annual Mean'!$A$3:$L$83,7,FALSE)</f>
        <v>16.7</v>
      </c>
      <c r="G9" s="132">
        <f>VLOOKUP($A9,'Annual Mean'!$A$3:$L$83,8,FALSE)</f>
        <v>14.8</v>
      </c>
      <c r="H9" s="132">
        <f>VLOOKUP($A9,'Annual Mean'!$A$3:$L$83,9,FALSE)</f>
        <v>13.5</v>
      </c>
      <c r="I9" s="132">
        <f>VLOOKUP($A9,'Annual Mean'!$A$3:$L$83,10,FALSE)</f>
        <v>12.6</v>
      </c>
      <c r="J9" s="132">
        <f>VLOOKUP($A9,'Annual Mean'!$A$3:$L$83,11,FALSE)</f>
        <v>12.2</v>
      </c>
      <c r="K9" s="132">
        <f>VLOOKUP($A9,'Annual Mean'!$A$3:$L$83,12,FALSE)</f>
        <v>13.5</v>
      </c>
      <c r="L9" s="100">
        <f>IF(ISNUMBER(E9),VLOOKUP($B9,'Represented Populations'!$A$4:$I$157,2,FALSE)/COUNT(E$7:E$18),0)</f>
        <v>159100</v>
      </c>
      <c r="M9" s="49">
        <f>IF(ISNUMBER(F9),VLOOKUP($B9,'Represented Populations'!$A$4:$I$157,3,FALSE)/COUNT(F$7:F$18),0)</f>
        <v>143777.77777777778</v>
      </c>
      <c r="N9" s="49">
        <f>IF(ISNUMBER(G9),VLOOKUP($B9,'Represented Populations'!$A$4:$I$157,4,FALSE)/COUNT(G$7:G$18),0)</f>
        <v>131310</v>
      </c>
      <c r="O9" s="49">
        <f>IF(ISNUMBER(H9),VLOOKUP($B9,'Represented Populations'!$A$4:$I$157,5,FALSE)/COUNT(H$7:H$18),0)</f>
        <v>133330</v>
      </c>
      <c r="P9" s="49">
        <f>IF(ISNUMBER(I9),VLOOKUP($B9,'Represented Populations'!$A$4:$I$157,6,FALSE)/COUNT(I$7:I$18),0)</f>
        <v>135490</v>
      </c>
      <c r="Q9" s="49">
        <f>IF(ISNUMBER(J9),VLOOKUP($B9,'Represented Populations'!$A$4:$I$157,7,FALSE)/COUNT(J$7:J$18),0)</f>
        <v>125190.90909090909</v>
      </c>
      <c r="R9" s="42">
        <f>IF(ISNUMBER(K9),VLOOKUP($B9,'Represented Populations'!$A$4:$I$157,8,FALSE)/COUNT(K$7:K$18),0)</f>
        <v>127027.27272727272</v>
      </c>
      <c r="S9" s="28"/>
      <c r="T9" s="28"/>
      <c r="U9" s="28"/>
      <c r="V9" s="28"/>
      <c r="W9" s="28"/>
      <c r="X9" s="28"/>
      <c r="Y9" s="28"/>
      <c r="Z9" s="28"/>
      <c r="AA9" s="28"/>
      <c r="AB9" s="28"/>
    </row>
    <row r="10" spans="1:28" s="50" customFormat="1">
      <c r="A10" s="48" t="s">
        <v>80</v>
      </c>
      <c r="B10" s="72" t="s">
        <v>10</v>
      </c>
      <c r="C10" s="40" t="s">
        <v>250</v>
      </c>
      <c r="D10" s="81" t="s">
        <v>265</v>
      </c>
      <c r="E10" s="131"/>
      <c r="F10" s="132">
        <f>VLOOKUP($A10,'Annual Mean'!$A$3:$L$83,7,FALSE)</f>
        <v>22.7</v>
      </c>
      <c r="G10" s="132">
        <f>VLOOKUP($A10,'Annual Mean'!$A$3:$L$83,8,FALSE)</f>
        <v>21.2</v>
      </c>
      <c r="H10" s="132">
        <f>VLOOKUP($A10,'Annual Mean'!$A$3:$L$83,9,FALSE)</f>
        <v>23.9</v>
      </c>
      <c r="I10" s="132">
        <f>VLOOKUP($A10,'Annual Mean'!$A$3:$L$83,10,FALSE)</f>
        <v>19.8</v>
      </c>
      <c r="J10" s="132">
        <f>VLOOKUP($A10,'Annual Mean'!$A$3:$L$83,11,FALSE)</f>
        <v>19.100000000000001</v>
      </c>
      <c r="K10" s="132">
        <f>VLOOKUP($A10,'Annual Mean'!$A$3:$L$83,12,FALSE)</f>
        <v>19.399999999999999</v>
      </c>
      <c r="L10" s="100">
        <f>IF(ISNUMBER(E10),VLOOKUP($B10,'Represented Populations'!$A$4:$I$157,2,FALSE)/COUNT(E$7:E$18),0)</f>
        <v>0</v>
      </c>
      <c r="M10" s="49">
        <f>IF(ISNUMBER(F10),VLOOKUP($B10,'Represented Populations'!$A$4:$I$157,3,FALSE)/COUNT(F$7:F$18),0)</f>
        <v>143777.77777777778</v>
      </c>
      <c r="N10" s="49">
        <f>IF(ISNUMBER(G10),VLOOKUP($B10,'Represented Populations'!$A$4:$I$157,4,FALSE)/COUNT(G$7:G$18),0)</f>
        <v>131310</v>
      </c>
      <c r="O10" s="49">
        <f>IF(ISNUMBER(H10),VLOOKUP($B10,'Represented Populations'!$A$4:$I$157,5,FALSE)/COUNT(H$7:H$18),0)</f>
        <v>133330</v>
      </c>
      <c r="P10" s="49">
        <f>IF(ISNUMBER(I10),VLOOKUP($B10,'Represented Populations'!$A$4:$I$157,6,FALSE)/COUNT(I$7:I$18),0)</f>
        <v>135490</v>
      </c>
      <c r="Q10" s="49">
        <f>IF(ISNUMBER(J10),VLOOKUP($B10,'Represented Populations'!$A$4:$I$157,7,FALSE)/COUNT(J$7:J$18),0)</f>
        <v>125190.90909090909</v>
      </c>
      <c r="R10" s="42">
        <f>IF(ISNUMBER(K10),VLOOKUP($B10,'Represented Populations'!$A$4:$I$157,8,FALSE)/COUNT(K$7:K$18),0)</f>
        <v>127027.27272727272</v>
      </c>
      <c r="S10" s="28"/>
      <c r="T10" s="28"/>
      <c r="U10" s="28"/>
      <c r="V10" s="28"/>
      <c r="W10" s="28"/>
      <c r="X10" s="28"/>
      <c r="Y10" s="28"/>
      <c r="Z10" s="28"/>
      <c r="AA10" s="28"/>
      <c r="AB10" s="28"/>
    </row>
    <row r="11" spans="1:28" s="50" customFormat="1">
      <c r="A11" s="48" t="s">
        <v>81</v>
      </c>
      <c r="B11" s="43" t="s">
        <v>10</v>
      </c>
      <c r="C11" s="40" t="s">
        <v>250</v>
      </c>
      <c r="D11" s="81" t="s">
        <v>265</v>
      </c>
      <c r="E11" s="131">
        <f>VLOOKUP($A11,'Annual Mean'!$A$3:$L$83,6,FALSE)</f>
        <v>15</v>
      </c>
      <c r="F11" s="132"/>
      <c r="G11" s="132"/>
      <c r="H11" s="132"/>
      <c r="I11" s="132"/>
      <c r="J11" s="132"/>
      <c r="K11" s="132"/>
      <c r="L11" s="100">
        <f>IF(ISNUMBER(E11),VLOOKUP($B11,'Represented Populations'!$A$4:$I$157,2,FALSE)/COUNT(E$7:E$18),0)</f>
        <v>159100</v>
      </c>
      <c r="M11" s="49">
        <f>IF(ISNUMBER(F11),VLOOKUP($B11,'Represented Populations'!$A$4:$I$157,3,FALSE)/COUNT(F$7:F$18),0)</f>
        <v>0</v>
      </c>
      <c r="N11" s="49">
        <f>IF(ISNUMBER(G11),VLOOKUP($B11,'Represented Populations'!$A$4:$I$157,4,FALSE)/COUNT(G$7:G$18),0)</f>
        <v>0</v>
      </c>
      <c r="O11" s="49">
        <f>IF(ISNUMBER(H11),VLOOKUP($B11,'Represented Populations'!$A$4:$I$157,5,FALSE)/COUNT(H$7:H$18),0)</f>
        <v>0</v>
      </c>
      <c r="P11" s="49">
        <f>IF(ISNUMBER(I11),VLOOKUP($B11,'Represented Populations'!$A$4:$I$157,6,FALSE)/COUNT(I$7:I$18),0)</f>
        <v>0</v>
      </c>
      <c r="Q11" s="49">
        <f>IF(ISNUMBER(J11),VLOOKUP($B11,'Represented Populations'!$A$4:$I$157,7,FALSE)/COUNT(J$7:J$18),0)</f>
        <v>0</v>
      </c>
      <c r="R11" s="42">
        <f>IF(ISNUMBER(K11),VLOOKUP($B11,'Represented Populations'!$A$4:$I$157,8,FALSE)/COUNT(K$7:K$18),0)</f>
        <v>0</v>
      </c>
      <c r="S11" s="28"/>
      <c r="T11" s="28"/>
      <c r="U11" s="28"/>
      <c r="V11" s="28"/>
      <c r="W11" s="28"/>
      <c r="X11" s="28"/>
      <c r="Y11" s="28"/>
      <c r="Z11" s="28"/>
      <c r="AA11" s="28"/>
      <c r="AB11" s="28"/>
    </row>
    <row r="12" spans="1:28" s="50" customFormat="1">
      <c r="A12" s="48" t="s">
        <v>82</v>
      </c>
      <c r="B12" s="72" t="s">
        <v>10</v>
      </c>
      <c r="C12" s="40" t="s">
        <v>250</v>
      </c>
      <c r="D12" s="81" t="s">
        <v>265</v>
      </c>
      <c r="E12" s="131"/>
      <c r="F12" s="132"/>
      <c r="G12" s="132">
        <f>VLOOKUP($A12,'Annual Mean'!$A$3:$L$83,8,FALSE)</f>
        <v>14.6</v>
      </c>
      <c r="H12" s="132">
        <f>VLOOKUP($A12,'Annual Mean'!$A$3:$L$83,9,FALSE)</f>
        <v>13.8</v>
      </c>
      <c r="I12" s="132">
        <f>VLOOKUP($A12,'Annual Mean'!$A$3:$L$83,10,FALSE)</f>
        <v>12.9</v>
      </c>
      <c r="J12" s="132">
        <f>VLOOKUP($A12,'Annual Mean'!$A$3:$L$83,11,FALSE)</f>
        <v>13.7</v>
      </c>
      <c r="K12" s="132">
        <f>VLOOKUP($A12,'Annual Mean'!$A$3:$L$83,12,FALSE)</f>
        <v>13.4</v>
      </c>
      <c r="L12" s="100">
        <f>IF(ISNUMBER(E12),VLOOKUP($B12,'Represented Populations'!$A$4:$I$157,2,FALSE)/COUNT(E$7:E$18),0)</f>
        <v>0</v>
      </c>
      <c r="M12" s="49">
        <f>IF(ISNUMBER(F12),VLOOKUP($B12,'Represented Populations'!$A$4:$I$157,3,FALSE)/COUNT(F$7:F$18),0)</f>
        <v>0</v>
      </c>
      <c r="N12" s="49">
        <f>IF(ISNUMBER(G12),VLOOKUP($B12,'Represented Populations'!$A$4:$I$157,4,FALSE)/COUNT(G$7:G$18),0)</f>
        <v>131310</v>
      </c>
      <c r="O12" s="49">
        <f>IF(ISNUMBER(H12),VLOOKUP($B12,'Represented Populations'!$A$4:$I$157,5,FALSE)/COUNT(H$7:H$18),0)</f>
        <v>133330</v>
      </c>
      <c r="P12" s="49">
        <f>IF(ISNUMBER(I12),VLOOKUP($B12,'Represented Populations'!$A$4:$I$157,6,FALSE)/COUNT(I$7:I$18),0)</f>
        <v>135490</v>
      </c>
      <c r="Q12" s="49">
        <f>IF(ISNUMBER(J12),VLOOKUP($B12,'Represented Populations'!$A$4:$I$157,7,FALSE)/COUNT(J$7:J$18),0)</f>
        <v>125190.90909090909</v>
      </c>
      <c r="R12" s="42">
        <f>IF(ISNUMBER(K12),VLOOKUP($B12,'Represented Populations'!$A$4:$I$157,8,FALSE)/COUNT(K$7:K$18),0)</f>
        <v>127027.27272727272</v>
      </c>
      <c r="S12" s="28"/>
      <c r="T12" s="28"/>
      <c r="U12" s="28"/>
      <c r="V12" s="28"/>
      <c r="W12" s="28"/>
      <c r="X12" s="28"/>
      <c r="Y12" s="28"/>
      <c r="Z12" s="28"/>
      <c r="AA12" s="28"/>
      <c r="AB12" s="28"/>
    </row>
    <row r="13" spans="1:28" s="50" customFormat="1">
      <c r="A13" s="48" t="s">
        <v>83</v>
      </c>
      <c r="B13" s="72" t="s">
        <v>10</v>
      </c>
      <c r="C13" s="40" t="s">
        <v>250</v>
      </c>
      <c r="D13" s="81" t="s">
        <v>265</v>
      </c>
      <c r="E13" s="131">
        <f>VLOOKUP($A13,'Annual Mean'!$A$3:$L$83,6,FALSE)</f>
        <v>17.2</v>
      </c>
      <c r="F13" s="132">
        <f>VLOOKUP($A13,'Annual Mean'!$A$3:$L$83,7,FALSE)</f>
        <v>16.7</v>
      </c>
      <c r="G13" s="132">
        <f>VLOOKUP($A13,'Annual Mean'!$A$3:$L$83,8,FALSE)</f>
        <v>17.399999999999999</v>
      </c>
      <c r="H13" s="132">
        <f>VLOOKUP($A13,'Annual Mean'!$A$3:$L$83,9,FALSE)</f>
        <v>16.5</v>
      </c>
      <c r="I13" s="132">
        <f>VLOOKUP($A13,'Annual Mean'!$A$3:$L$83,10,FALSE)</f>
        <v>14.6</v>
      </c>
      <c r="J13" s="132">
        <f>VLOOKUP($A13,'Annual Mean'!$A$3:$L$83,11,FALSE)</f>
        <v>13.8</v>
      </c>
      <c r="K13" s="132">
        <f>VLOOKUP($A13,'Annual Mean'!$A$3:$L$83,12,FALSE)</f>
        <v>15.1</v>
      </c>
      <c r="L13" s="100">
        <f>IF(ISNUMBER(E13),VLOOKUP($B13,'Represented Populations'!$A$4:$I$157,2,FALSE)/COUNT(E$7:E$18),0)</f>
        <v>159100</v>
      </c>
      <c r="M13" s="49">
        <f>IF(ISNUMBER(F13),VLOOKUP($B13,'Represented Populations'!$A$4:$I$157,3,FALSE)/COUNT(F$7:F$18),0)</f>
        <v>143777.77777777778</v>
      </c>
      <c r="N13" s="49">
        <f>IF(ISNUMBER(G13),VLOOKUP($B13,'Represented Populations'!$A$4:$I$157,4,FALSE)/COUNT(G$7:G$18),0)</f>
        <v>131310</v>
      </c>
      <c r="O13" s="49">
        <f>IF(ISNUMBER(H13),VLOOKUP($B13,'Represented Populations'!$A$4:$I$157,5,FALSE)/COUNT(H$7:H$18),0)</f>
        <v>133330</v>
      </c>
      <c r="P13" s="49">
        <f>IF(ISNUMBER(I13),VLOOKUP($B13,'Represented Populations'!$A$4:$I$157,6,FALSE)/COUNT(I$7:I$18),0)</f>
        <v>135490</v>
      </c>
      <c r="Q13" s="49">
        <f>IF(ISNUMBER(J13),VLOOKUP($B13,'Represented Populations'!$A$4:$I$157,7,FALSE)/COUNT(J$7:J$18),0)</f>
        <v>125190.90909090909</v>
      </c>
      <c r="R13" s="42">
        <f>IF(ISNUMBER(K13),VLOOKUP($B13,'Represented Populations'!$A$4:$I$157,8,FALSE)/COUNT(K$7:K$18),0)</f>
        <v>127027.27272727272</v>
      </c>
      <c r="S13" s="28"/>
      <c r="T13" s="28"/>
      <c r="U13" s="28"/>
      <c r="V13" s="28"/>
      <c r="W13" s="28"/>
      <c r="X13" s="28"/>
      <c r="Y13" s="28"/>
      <c r="Z13" s="28"/>
      <c r="AA13" s="28"/>
      <c r="AB13" s="28"/>
    </row>
    <row r="14" spans="1:28" s="50" customFormat="1">
      <c r="A14" s="48" t="s">
        <v>86</v>
      </c>
      <c r="B14" s="72" t="s">
        <v>10</v>
      </c>
      <c r="C14" s="40" t="s">
        <v>250</v>
      </c>
      <c r="D14" s="81" t="s">
        <v>265</v>
      </c>
      <c r="E14" s="131">
        <f>VLOOKUP($A14,'Annual Mean'!$A$3:$L$83,6,FALSE)</f>
        <v>17.600000000000001</v>
      </c>
      <c r="F14" s="132">
        <f>VLOOKUP($A14,'Annual Mean'!$A$3:$L$83,7,FALSE)</f>
        <v>17.600000000000001</v>
      </c>
      <c r="G14" s="132">
        <f>VLOOKUP($A14,'Annual Mean'!$A$3:$L$83,8,FALSE)</f>
        <v>17.899999999999999</v>
      </c>
      <c r="H14" s="132">
        <f>VLOOKUP($A14,'Annual Mean'!$A$3:$L$83,9,FALSE)</f>
        <v>17.7</v>
      </c>
      <c r="I14" s="132">
        <f>VLOOKUP($A14,'Annual Mean'!$A$3:$L$83,10,FALSE)</f>
        <v>16</v>
      </c>
      <c r="J14" s="132">
        <f>VLOOKUP($A14,'Annual Mean'!$A$3:$L$83,11,FALSE)</f>
        <v>14.7</v>
      </c>
      <c r="K14" s="132">
        <f>VLOOKUP($A14,'Annual Mean'!$A$3:$L$83,12,FALSE)</f>
        <v>14.6</v>
      </c>
      <c r="L14" s="100">
        <f>IF(ISNUMBER(E14),VLOOKUP($B14,'Represented Populations'!$A$4:$I$157,2,FALSE)/COUNT(E$7:E$18),0)</f>
        <v>159100</v>
      </c>
      <c r="M14" s="49">
        <f>IF(ISNUMBER(F14),VLOOKUP($B14,'Represented Populations'!$A$4:$I$157,3,FALSE)/COUNT(F$7:F$18),0)</f>
        <v>143777.77777777778</v>
      </c>
      <c r="N14" s="49">
        <f>IF(ISNUMBER(G14),VLOOKUP($B14,'Represented Populations'!$A$4:$I$157,4,FALSE)/COUNT(G$7:G$18),0)</f>
        <v>131310</v>
      </c>
      <c r="O14" s="49">
        <f>IF(ISNUMBER(H14),VLOOKUP($B14,'Represented Populations'!$A$4:$I$157,5,FALSE)/COUNT(H$7:H$18),0)</f>
        <v>133330</v>
      </c>
      <c r="P14" s="49">
        <f>IF(ISNUMBER(I14),VLOOKUP($B14,'Represented Populations'!$A$4:$I$157,6,FALSE)/COUNT(I$7:I$18),0)</f>
        <v>135490</v>
      </c>
      <c r="Q14" s="49">
        <f>IF(ISNUMBER(J14),VLOOKUP($B14,'Represented Populations'!$A$4:$I$157,7,FALSE)/COUNT(J$7:J$18),0)</f>
        <v>125190.90909090909</v>
      </c>
      <c r="R14" s="42">
        <f>IF(ISNUMBER(K14),VLOOKUP($B14,'Represented Populations'!$A$4:$I$157,8,FALSE)/COUNT(K$7:K$18),0)</f>
        <v>127027.27272727272</v>
      </c>
      <c r="S14" s="28"/>
      <c r="T14" s="28"/>
      <c r="U14" s="28"/>
      <c r="V14" s="28"/>
      <c r="W14" s="28"/>
      <c r="X14" s="28"/>
      <c r="Y14" s="28"/>
      <c r="Z14" s="28"/>
      <c r="AA14" s="28"/>
      <c r="AB14" s="28"/>
    </row>
    <row r="15" spans="1:28" s="50" customFormat="1">
      <c r="A15" s="48" t="s">
        <v>87</v>
      </c>
      <c r="B15" s="72" t="s">
        <v>10</v>
      </c>
      <c r="C15" s="40" t="s">
        <v>250</v>
      </c>
      <c r="D15" s="81" t="s">
        <v>265</v>
      </c>
      <c r="E15" s="131"/>
      <c r="F15" s="132"/>
      <c r="G15" s="132"/>
      <c r="H15" s="132"/>
      <c r="I15" s="132"/>
      <c r="J15" s="132">
        <f>VLOOKUP($A15,'Annual Mean'!$A$3:$L$83,11,FALSE)</f>
        <v>15.5</v>
      </c>
      <c r="K15" s="132">
        <f>VLOOKUP($A15,'Annual Mean'!$A$3:$L$83,12,FALSE)</f>
        <v>15.5</v>
      </c>
      <c r="L15" s="100">
        <f>IF(ISNUMBER(E15),VLOOKUP($B15,'Represented Populations'!$A$4:$I$157,2,FALSE)/COUNT(E$7:E$18),0)</f>
        <v>0</v>
      </c>
      <c r="M15" s="49">
        <f>IF(ISNUMBER(F15),VLOOKUP($B15,'Represented Populations'!$A$4:$I$157,3,FALSE)/COUNT(F$7:F$18),0)</f>
        <v>0</v>
      </c>
      <c r="N15" s="49">
        <f>IF(ISNUMBER(G15),VLOOKUP($B15,'Represented Populations'!$A$4:$I$157,4,FALSE)/COUNT(G$7:G$18),0)</f>
        <v>0</v>
      </c>
      <c r="O15" s="49">
        <f>IF(ISNUMBER(H15),VLOOKUP($B15,'Represented Populations'!$A$4:$I$157,5,FALSE)/COUNT(H$7:H$18),0)</f>
        <v>0</v>
      </c>
      <c r="P15" s="49">
        <f>IF(ISNUMBER(I15),VLOOKUP($B15,'Represented Populations'!$A$4:$I$157,6,FALSE)/COUNT(I$7:I$18),0)</f>
        <v>0</v>
      </c>
      <c r="Q15" s="49">
        <f>IF(ISNUMBER(J15),VLOOKUP($B15,'Represented Populations'!$A$4:$I$157,7,FALSE)/COUNT(J$7:J$18),0)</f>
        <v>125190.90909090909</v>
      </c>
      <c r="R15" s="42">
        <f>IF(ISNUMBER(K15),VLOOKUP($B15,'Represented Populations'!$A$4:$I$157,8,FALSE)/COUNT(K$7:K$18),0)</f>
        <v>127027.27272727272</v>
      </c>
      <c r="S15" s="28"/>
      <c r="T15" s="28"/>
      <c r="U15" s="28"/>
      <c r="V15" s="28"/>
      <c r="W15" s="28"/>
      <c r="X15" s="28"/>
      <c r="Y15" s="28"/>
      <c r="Z15" s="28"/>
      <c r="AA15" s="28"/>
      <c r="AB15" s="28"/>
    </row>
    <row r="16" spans="1:28" s="50" customFormat="1">
      <c r="A16" s="48" t="s">
        <v>89</v>
      </c>
      <c r="B16" s="72" t="s">
        <v>10</v>
      </c>
      <c r="C16" s="40" t="s">
        <v>250</v>
      </c>
      <c r="D16" s="81" t="s">
        <v>265</v>
      </c>
      <c r="E16" s="131">
        <f>VLOOKUP($A16,'Annual Mean'!$A$3:$L$83,6,FALSE)</f>
        <v>19.8</v>
      </c>
      <c r="F16" s="132">
        <f>VLOOKUP($A16,'Annual Mean'!$A$3:$L$83,7,FALSE)</f>
        <v>20.9</v>
      </c>
      <c r="G16" s="132">
        <f>VLOOKUP($A16,'Annual Mean'!$A$3:$L$83,8,FALSE)</f>
        <v>18.8</v>
      </c>
      <c r="H16" s="132">
        <f>VLOOKUP($A16,'Annual Mean'!$A$3:$L$83,9,FALSE)</f>
        <v>18.100000000000001</v>
      </c>
      <c r="I16" s="132">
        <f>VLOOKUP($A16,'Annual Mean'!$A$3:$L$83,10,FALSE)</f>
        <v>17.2</v>
      </c>
      <c r="J16" s="132">
        <f>VLOOKUP($A16,'Annual Mean'!$A$3:$L$83,11,FALSE)</f>
        <v>17.100000000000001</v>
      </c>
      <c r="K16" s="132">
        <f>VLOOKUP($A16,'Annual Mean'!$A$3:$L$83,12,FALSE)</f>
        <v>15.4</v>
      </c>
      <c r="L16" s="100">
        <f>IF(ISNUMBER(E16),VLOOKUP($B16,'Represented Populations'!$A$4:$I$157,2,FALSE)/COUNT(E$7:E$18),0)</f>
        <v>159100</v>
      </c>
      <c r="M16" s="49">
        <f>IF(ISNUMBER(F16),VLOOKUP($B16,'Represented Populations'!$A$4:$I$157,3,FALSE)/COUNT(F$7:F$18),0)</f>
        <v>143777.77777777778</v>
      </c>
      <c r="N16" s="49">
        <f>IF(ISNUMBER(G16),VLOOKUP($B16,'Represented Populations'!$A$4:$I$157,4,FALSE)/COUNT(G$7:G$18),0)</f>
        <v>131310</v>
      </c>
      <c r="O16" s="49">
        <f>IF(ISNUMBER(H16),VLOOKUP($B16,'Represented Populations'!$A$4:$I$157,5,FALSE)/COUNT(H$7:H$18),0)</f>
        <v>133330</v>
      </c>
      <c r="P16" s="49">
        <f>IF(ISNUMBER(I16),VLOOKUP($B16,'Represented Populations'!$A$4:$I$157,6,FALSE)/COUNT(I$7:I$18),0)</f>
        <v>135490</v>
      </c>
      <c r="Q16" s="49">
        <f>IF(ISNUMBER(J16),VLOOKUP($B16,'Represented Populations'!$A$4:$I$157,7,FALSE)/COUNT(J$7:J$18),0)</f>
        <v>125190.90909090909</v>
      </c>
      <c r="R16" s="42">
        <f>IF(ISNUMBER(K16),VLOOKUP($B16,'Represented Populations'!$A$4:$I$157,8,FALSE)/COUNT(K$7:K$18),0)</f>
        <v>127027.27272727272</v>
      </c>
      <c r="S16" s="28"/>
      <c r="T16" s="28"/>
      <c r="U16" s="28"/>
      <c r="V16" s="28"/>
      <c r="W16" s="28"/>
      <c r="X16" s="28"/>
      <c r="Y16" s="28"/>
      <c r="Z16" s="28"/>
      <c r="AA16" s="28"/>
      <c r="AB16" s="28"/>
    </row>
    <row r="17" spans="1:28" s="50" customFormat="1">
      <c r="A17" s="48" t="s">
        <v>11</v>
      </c>
      <c r="B17" s="73" t="s">
        <v>10</v>
      </c>
      <c r="C17" s="40" t="s">
        <v>250</v>
      </c>
      <c r="D17" s="81" t="s">
        <v>265</v>
      </c>
      <c r="E17" s="131">
        <f>VLOOKUP($A17,'Annual Mean'!$A$3:$L$83,6,FALSE)</f>
        <v>18.3</v>
      </c>
      <c r="F17" s="132">
        <f>VLOOKUP($A17,'Annual Mean'!$A$3:$L$83,7,FALSE)</f>
        <v>18.2</v>
      </c>
      <c r="G17" s="132">
        <f>VLOOKUP($A17,'Annual Mean'!$A$3:$L$83,8,FALSE)</f>
        <v>16.7</v>
      </c>
      <c r="H17" s="132">
        <f>VLOOKUP($A17,'Annual Mean'!$A$3:$L$83,9,FALSE)</f>
        <v>15.8</v>
      </c>
      <c r="I17" s="132">
        <f>VLOOKUP($A17,'Annual Mean'!$A$3:$L$83,10,FALSE)</f>
        <v>14.7</v>
      </c>
      <c r="J17" s="132">
        <f>VLOOKUP($A17,'Annual Mean'!$A$3:$L$83,11,FALSE)</f>
        <v>16.100000000000001</v>
      </c>
      <c r="K17" s="132">
        <f>VLOOKUP($A17,'Annual Mean'!$A$3:$L$83,12,FALSE)</f>
        <v>15.1</v>
      </c>
      <c r="L17" s="100">
        <f>IF(ISNUMBER(E17),VLOOKUP($B17,'Represented Populations'!$A$4:$I$157,2,FALSE)/COUNT(E$7:E$18),0)</f>
        <v>159100</v>
      </c>
      <c r="M17" s="49">
        <f>IF(ISNUMBER(F17),VLOOKUP($B17,'Represented Populations'!$A$4:$I$157,3,FALSE)/COUNT(F$7:F$18),0)</f>
        <v>143777.77777777778</v>
      </c>
      <c r="N17" s="49">
        <f>IF(ISNUMBER(G17),VLOOKUP($B17,'Represented Populations'!$A$4:$I$157,4,FALSE)/COUNT(G$7:G$18),0)</f>
        <v>131310</v>
      </c>
      <c r="O17" s="49">
        <f>IF(ISNUMBER(H17),VLOOKUP($B17,'Represented Populations'!$A$4:$I$157,5,FALSE)/COUNT(H$7:H$18),0)</f>
        <v>133330</v>
      </c>
      <c r="P17" s="49">
        <f>IF(ISNUMBER(I17),VLOOKUP($B17,'Represented Populations'!$A$4:$I$157,6,FALSE)/COUNT(I$7:I$18),0)</f>
        <v>135490</v>
      </c>
      <c r="Q17" s="49">
        <f>IF(ISNUMBER(J17),VLOOKUP($B17,'Represented Populations'!$A$4:$I$157,7,FALSE)/COUNT(J$7:J$18),0)</f>
        <v>125190.90909090909</v>
      </c>
      <c r="R17" s="42">
        <f>IF(ISNUMBER(K17),VLOOKUP($B17,'Represented Populations'!$A$4:$I$157,8,FALSE)/COUNT(K$7:K$18),0)</f>
        <v>127027.27272727272</v>
      </c>
      <c r="S17" s="28"/>
      <c r="T17" s="28"/>
      <c r="U17" s="28"/>
      <c r="V17" s="28"/>
      <c r="W17" s="28"/>
      <c r="X17" s="28"/>
      <c r="Y17" s="28"/>
      <c r="Z17" s="28"/>
      <c r="AA17" s="28"/>
      <c r="AB17" s="28"/>
    </row>
    <row r="18" spans="1:28" s="50" customFormat="1">
      <c r="A18" s="48" t="s">
        <v>9</v>
      </c>
      <c r="B18" s="73" t="s">
        <v>10</v>
      </c>
      <c r="C18" s="40" t="s">
        <v>251</v>
      </c>
      <c r="D18" s="81" t="s">
        <v>265</v>
      </c>
      <c r="E18" s="131"/>
      <c r="F18" s="132">
        <f>VLOOKUP($A18,'Annual Mean'!$A$3:$L$83,7,FALSE)</f>
        <v>16.600000000000001</v>
      </c>
      <c r="G18" s="132">
        <f>VLOOKUP($A18,'Annual Mean'!$A$3:$L$83,8,FALSE)</f>
        <v>16.5</v>
      </c>
      <c r="H18" s="132">
        <f>VLOOKUP($A18,'Annual Mean'!$A$3:$L$83,9,FALSE)</f>
        <v>15.8</v>
      </c>
      <c r="I18" s="132">
        <f>VLOOKUP($A18,'Annual Mean'!$A$3:$L$83,10,FALSE)</f>
        <v>15.8</v>
      </c>
      <c r="J18" s="132">
        <f>VLOOKUP($A18,'Annual Mean'!$A$3:$L$83,11,FALSE)</f>
        <v>15.2</v>
      </c>
      <c r="K18" s="132">
        <f>VLOOKUP($A18,'Annual Mean'!$A$3:$L$83,12,FALSE)</f>
        <v>15.9</v>
      </c>
      <c r="L18" s="100">
        <f>IF(ISNUMBER(E18),VLOOKUP($B18,'Represented Populations'!$A$4:$I$157,2,FALSE)/COUNT(E$7:E$18),0)</f>
        <v>0</v>
      </c>
      <c r="M18" s="49">
        <f>IF(ISNUMBER(F18),VLOOKUP($B18,'Represented Populations'!$A$4:$I$157,3,FALSE)/COUNT(F$7:F$18),0)</f>
        <v>143777.77777777778</v>
      </c>
      <c r="N18" s="49">
        <f>IF(ISNUMBER(G18),VLOOKUP($B18,'Represented Populations'!$A$4:$I$157,4,FALSE)/COUNT(G$7:G$18),0)</f>
        <v>131310</v>
      </c>
      <c r="O18" s="49">
        <f>IF(ISNUMBER(H18),VLOOKUP($B18,'Represented Populations'!$A$4:$I$157,5,FALSE)/COUNT(H$7:H$18),0)</f>
        <v>133330</v>
      </c>
      <c r="P18" s="49">
        <f>IF(ISNUMBER(I18),VLOOKUP($B18,'Represented Populations'!$A$4:$I$157,6,FALSE)/COUNT(I$7:I$18),0)</f>
        <v>135490</v>
      </c>
      <c r="Q18" s="49">
        <f>IF(ISNUMBER(J18),VLOOKUP($B18,'Represented Populations'!$A$4:$I$157,7,FALSE)/COUNT(J$7:J$18),0)</f>
        <v>125190.90909090909</v>
      </c>
      <c r="R18" s="42">
        <f>IF(ISNUMBER(K18),VLOOKUP($B18,'Represented Populations'!$A$4:$I$157,8,FALSE)/COUNT(K$7:K$18),0)</f>
        <v>127027.27272727272</v>
      </c>
      <c r="T18" s="28"/>
      <c r="U18" s="28"/>
      <c r="V18" s="28"/>
      <c r="W18" s="28"/>
      <c r="X18" s="28"/>
      <c r="Y18" s="28"/>
      <c r="Z18" s="28"/>
      <c r="AA18" s="28"/>
      <c r="AB18" s="28"/>
    </row>
    <row r="19" spans="1:28" s="50" customFormat="1">
      <c r="A19" s="48" t="s">
        <v>44</v>
      </c>
      <c r="B19" s="73" t="s">
        <v>41</v>
      </c>
      <c r="C19" s="40" t="s">
        <v>250</v>
      </c>
      <c r="D19" s="81" t="s">
        <v>265</v>
      </c>
      <c r="E19" s="131"/>
      <c r="F19" s="132"/>
      <c r="G19" s="132">
        <f>VLOOKUP($A19,'Annual Mean'!$A$3:$L$83,8,FALSE)</f>
        <v>12</v>
      </c>
      <c r="H19" s="132">
        <f>VLOOKUP($A19,'Annual Mean'!$A$3:$L$83,9,FALSE)</f>
        <v>10.8</v>
      </c>
      <c r="I19" s="132"/>
      <c r="J19" s="132"/>
      <c r="K19" s="132"/>
      <c r="L19" s="100">
        <f>IF(ISNUMBER(E19),VLOOKUP($B19,'Represented Populations'!$A$4:$I$157,2,FALSE)/COUNT(E$19,E$20),0)</f>
        <v>0</v>
      </c>
      <c r="M19" s="49">
        <f>IF(ISNUMBER(F19),VLOOKUP($B19,'Represented Populations'!$A$4:$I$157,3,FALSE)/COUNT(F$19,F$20),0)</f>
        <v>0</v>
      </c>
      <c r="N19" s="49">
        <f>IF(ISNUMBER(G19),VLOOKUP($B19,'Represented Populations'!$A$4:$I$157,4,FALSE)/COUNT(G$19,G$20),0)</f>
        <v>91850</v>
      </c>
      <c r="O19" s="49">
        <f>IF(ISNUMBER(H19),VLOOKUP($B19,'Represented Populations'!$A$4:$I$157,5,FALSE)/COUNT(H$19,H$20),0)</f>
        <v>93150</v>
      </c>
      <c r="P19" s="49">
        <f>IF(ISNUMBER(I19),VLOOKUP($B19,'Represented Populations'!$A$4:$I$157,6,FALSE)/COUNT(I$19,I$20),0)</f>
        <v>0</v>
      </c>
      <c r="Q19" s="49">
        <f>IF(ISNUMBER(J19),VLOOKUP($B19,'Represented Populations'!$A$4:$I$157,7,FALSE)/COUNT(J$19,J$20),0)</f>
        <v>0</v>
      </c>
      <c r="R19" s="42">
        <f>IF(ISNUMBER(K19),VLOOKUP($B19,'Represented Populations'!$A$4:$I$157,8,FALSE)/COUNT(K$19,K$20),0)</f>
        <v>0</v>
      </c>
      <c r="T19" s="28"/>
      <c r="U19" s="28"/>
      <c r="V19" s="28"/>
      <c r="W19" s="28"/>
      <c r="X19" s="28"/>
      <c r="Y19" s="28"/>
      <c r="Z19" s="28"/>
      <c r="AA19" s="28"/>
      <c r="AB19" s="28"/>
    </row>
    <row r="20" spans="1:28" s="50" customFormat="1">
      <c r="A20" s="48" t="s">
        <v>42</v>
      </c>
      <c r="B20" s="73" t="s">
        <v>41</v>
      </c>
      <c r="C20" s="40" t="s">
        <v>250</v>
      </c>
      <c r="D20" s="81" t="s">
        <v>265</v>
      </c>
      <c r="E20" s="131">
        <f>VLOOKUP($A20,'Annual Mean'!$A$3:$L$83,6,FALSE)</f>
        <v>14.8</v>
      </c>
      <c r="F20" s="132">
        <f>VLOOKUP($A20,'Annual Mean'!$A$3:$L$83,7,FALSE)</f>
        <v>13.6</v>
      </c>
      <c r="G20" s="132">
        <f>VLOOKUP($A20,'Annual Mean'!$A$3:$L$83,8,FALSE)</f>
        <v>14.2</v>
      </c>
      <c r="H20" s="132">
        <f>VLOOKUP($A20,'Annual Mean'!$A$3:$L$83,9,FALSE)</f>
        <v>12.7</v>
      </c>
      <c r="I20" s="132">
        <f>VLOOKUP($A20,'Annual Mean'!$A$3:$L$83,10,FALSE)</f>
        <v>12.7</v>
      </c>
      <c r="J20" s="132">
        <f>VLOOKUP($A20,'Annual Mean'!$A$3:$L$83,11,FALSE)</f>
        <v>13</v>
      </c>
      <c r="K20" s="132">
        <f>VLOOKUP($A20,'Annual Mean'!$A$3:$L$83,12,FALSE)</f>
        <v>12.9</v>
      </c>
      <c r="L20" s="100">
        <f>IF(ISNUMBER(E20),VLOOKUP($B20,'Represented Populations'!$A$4:$I$157,2,FALSE)/COUNT(E$19,E$20),0)</f>
        <v>178700</v>
      </c>
      <c r="M20" s="49">
        <f>IF(ISNUMBER(F20),VLOOKUP($B20,'Represented Populations'!$A$4:$I$157,3,FALSE)/COUNT(F$19,F$20),0)</f>
        <v>181400</v>
      </c>
      <c r="N20" s="49">
        <f>IF(ISNUMBER(G20),VLOOKUP($B20,'Represented Populations'!$A$4:$I$157,4,FALSE)/COUNT(G$19,G$20),0)</f>
        <v>91850</v>
      </c>
      <c r="O20" s="49">
        <f>IF(ISNUMBER(H20),VLOOKUP($B20,'Represented Populations'!$A$4:$I$157,5,FALSE)/COUNT(H$19,H$20),0)</f>
        <v>93150</v>
      </c>
      <c r="P20" s="49">
        <f>IF(ISNUMBER(I20),VLOOKUP($B20,'Represented Populations'!$A$4:$I$157,6,FALSE)/COUNT(I$19,I$20),0)</f>
        <v>188500</v>
      </c>
      <c r="Q20" s="49">
        <f>IF(ISNUMBER(J20),VLOOKUP($B20,'Represented Populations'!$A$4:$I$157,7,FALSE)/COUNT(J$19,J$20),0)</f>
        <v>190800</v>
      </c>
      <c r="R20" s="42">
        <f>IF(ISNUMBER(K20),VLOOKUP($B20,'Represented Populations'!$A$4:$I$157,8,FALSE)/COUNT(K$19,K$20),0)</f>
        <v>192900</v>
      </c>
      <c r="T20" s="28"/>
      <c r="U20" s="28"/>
      <c r="V20" s="28"/>
      <c r="W20" s="28"/>
      <c r="X20" s="28"/>
      <c r="Y20" s="28"/>
      <c r="Z20" s="28"/>
      <c r="AA20" s="28"/>
      <c r="AB20" s="28"/>
    </row>
    <row r="21" spans="1:28" s="50" customFormat="1">
      <c r="A21" s="48" t="s">
        <v>40</v>
      </c>
      <c r="B21" s="73" t="s">
        <v>39</v>
      </c>
      <c r="C21" s="40" t="s">
        <v>250</v>
      </c>
      <c r="D21" s="81" t="s">
        <v>265</v>
      </c>
      <c r="E21" s="131">
        <f>VLOOKUP($A21,'Annual Mean'!$A$3:$L$83,6,FALSE)</f>
        <v>14.5</v>
      </c>
      <c r="F21" s="132">
        <f>VLOOKUP($A21,'Annual Mean'!$A$3:$L$83,7,FALSE)</f>
        <v>13.9</v>
      </c>
      <c r="G21" s="132">
        <f>VLOOKUP($A21,'Annual Mean'!$A$3:$L$83,8,FALSE)</f>
        <v>13.7</v>
      </c>
      <c r="H21" s="132">
        <f>VLOOKUP($A21,'Annual Mean'!$A$3:$L$83,9,FALSE)</f>
        <v>13.9</v>
      </c>
      <c r="I21" s="132">
        <f>VLOOKUP($A21,'Annual Mean'!$A$3:$L$83,10,FALSE)</f>
        <v>13.6</v>
      </c>
      <c r="J21" s="132">
        <f>VLOOKUP($A21,'Annual Mean'!$A$3:$L$83,11,FALSE)</f>
        <v>10.4</v>
      </c>
      <c r="K21" s="132">
        <f>VLOOKUP($A21,'Annual Mean'!$A$3:$L$83,12,FALSE)</f>
        <v>10.1</v>
      </c>
      <c r="L21" s="100">
        <f>IF(ISNUMBER(E21),VLOOKUP($B21,'Represented Populations'!$A$4:$I$157,2,FALSE),0)</f>
        <v>64300</v>
      </c>
      <c r="M21" s="49">
        <f>IF(ISNUMBER(F21),VLOOKUP($B21,'Represented Populations'!$A$4:$I$157,3,FALSE),0)</f>
        <v>64600</v>
      </c>
      <c r="N21" s="49">
        <f>IF(ISNUMBER(G21),VLOOKUP($B21,'Represented Populations'!$A$4:$I$157,4,FALSE),0)</f>
        <v>64700</v>
      </c>
      <c r="O21" s="49">
        <f>IF(ISNUMBER(H21),VLOOKUP($B21,'Represented Populations'!$A$4:$I$157,5,FALSE),0)</f>
        <v>65100</v>
      </c>
      <c r="P21" s="49">
        <f>IF(ISNUMBER(I21),VLOOKUP($B21,'Represented Populations'!$A$4:$I$157,6,FALSE),0)</f>
        <v>65400</v>
      </c>
      <c r="Q21" s="49">
        <f>IF(ISNUMBER(J21),VLOOKUP($B21,'Represented Populations'!$A$4:$I$157,7,FALSE),0)</f>
        <v>65500</v>
      </c>
      <c r="R21" s="42">
        <f>IF(ISNUMBER(K21),VLOOKUP($B21,'Represented Populations'!$A$4:$I$157,8,FALSE),0)</f>
        <v>65400</v>
      </c>
      <c r="T21" s="28"/>
      <c r="U21" s="28"/>
      <c r="V21" s="28"/>
      <c r="W21" s="28"/>
      <c r="X21" s="28"/>
      <c r="Y21" s="28"/>
      <c r="Z21" s="28"/>
      <c r="AA21" s="28"/>
      <c r="AB21" s="28"/>
    </row>
    <row r="22" spans="1:28" s="50" customFormat="1">
      <c r="A22" s="48" t="s">
        <v>48</v>
      </c>
      <c r="B22" s="73" t="s">
        <v>47</v>
      </c>
      <c r="C22" s="40" t="s">
        <v>250</v>
      </c>
      <c r="D22" s="81" t="s">
        <v>265</v>
      </c>
      <c r="E22" s="131"/>
      <c r="F22" s="132"/>
      <c r="G22" s="132">
        <f>VLOOKUP($A22,'Annual Mean'!$A$3:$L$83,8,FALSE)</f>
        <v>15.9</v>
      </c>
      <c r="H22" s="132">
        <f>VLOOKUP($A22,'Annual Mean'!$A$3:$L$83,9,FALSE)</f>
        <v>12.9</v>
      </c>
      <c r="I22" s="132">
        <f>VLOOKUP($A22,'Annual Mean'!$A$3:$L$83,10,FALSE)</f>
        <v>12.2</v>
      </c>
      <c r="J22" s="132">
        <f>VLOOKUP($A22,'Annual Mean'!$A$3:$L$83,11,FALSE)</f>
        <v>11.6</v>
      </c>
      <c r="K22" s="132">
        <f>VLOOKUP($A22,'Annual Mean'!$A$3:$L$83,12,FALSE)</f>
        <v>12.1</v>
      </c>
      <c r="L22" s="100">
        <f>IF(ISNUMBER(E22),VLOOKUP($B22,'Represented Populations'!$A$4:$I$157,2,FALSE),0)</f>
        <v>0</v>
      </c>
      <c r="M22" s="49">
        <f>IF(ISNUMBER(F22),VLOOKUP($B22,'Represented Populations'!$A$4:$I$157,3,FALSE),0)</f>
        <v>0</v>
      </c>
      <c r="N22" s="49">
        <f>IF(ISNUMBER(G22),VLOOKUP($B22,'Represented Populations'!$A$4:$I$157,4,FALSE),0)</f>
        <v>57400</v>
      </c>
      <c r="O22" s="49">
        <f>IF(ISNUMBER(H22),VLOOKUP($B22,'Represented Populations'!$A$4:$I$157,5,FALSE),0)</f>
        <v>57900</v>
      </c>
      <c r="P22" s="49">
        <f>IF(ISNUMBER(I22),VLOOKUP($B22,'Represented Populations'!$A$4:$I$157,6,FALSE),0)</f>
        <v>58500</v>
      </c>
      <c r="Q22" s="49">
        <f>IF(ISNUMBER(J22),VLOOKUP($B22,'Represented Populations'!$A$4:$I$157,7,FALSE),0)</f>
        <v>59100</v>
      </c>
      <c r="R22" s="42">
        <f>IF(ISNUMBER(K22),VLOOKUP($B22,'Represented Populations'!$A$4:$I$157,8,FALSE),0)</f>
        <v>59500</v>
      </c>
      <c r="T22" s="28"/>
      <c r="U22" s="28"/>
      <c r="V22" s="28"/>
      <c r="W22" s="28"/>
      <c r="X22" s="28"/>
      <c r="Y22" s="28"/>
      <c r="Z22" s="28"/>
      <c r="AA22" s="28"/>
      <c r="AB22" s="28"/>
    </row>
    <row r="23" spans="1:28" s="50" customFormat="1">
      <c r="A23" s="48" t="s">
        <v>49</v>
      </c>
      <c r="B23" s="73" t="s">
        <v>49</v>
      </c>
      <c r="C23" s="40" t="s">
        <v>250</v>
      </c>
      <c r="D23" s="81" t="s">
        <v>265</v>
      </c>
      <c r="E23" s="131">
        <f>VLOOKUP($A23,'Annual Mean'!$A$3:$L$83,6,FALSE)</f>
        <v>11.9</v>
      </c>
      <c r="F23" s="132">
        <f>VLOOKUP($A23,'Annual Mean'!$A$3:$L$83,7,FALSE)</f>
        <v>11.7</v>
      </c>
      <c r="G23" s="132">
        <f>VLOOKUP($A23,'Annual Mean'!$A$3:$L$83,8,FALSE)</f>
        <v>11.1</v>
      </c>
      <c r="H23" s="132">
        <f>VLOOKUP($A23,'Annual Mean'!$A$3:$L$83,9,FALSE)</f>
        <v>11</v>
      </c>
      <c r="I23" s="132">
        <f>VLOOKUP($A23,'Annual Mean'!$A$3:$L$83,10,FALSE)</f>
        <v>10.8</v>
      </c>
      <c r="J23" s="132">
        <f>VLOOKUP($A23,'Annual Mean'!$A$3:$L$83,11,FALSE)</f>
        <v>10.7</v>
      </c>
      <c r="K23" s="132">
        <f>VLOOKUP($A23,'Annual Mean'!$A$3:$L$83,12,FALSE)</f>
        <v>10.1</v>
      </c>
      <c r="L23" s="100">
        <f>IF(ISNUMBER(E23),VLOOKUP($B23,'Represented Populations'!$A$4:$I$157,2,FALSE),0)</f>
        <v>34000</v>
      </c>
      <c r="M23" s="49">
        <f>IF(ISNUMBER(F23),VLOOKUP($B23,'Represented Populations'!$A$4:$I$157,3,FALSE),0)</f>
        <v>34100</v>
      </c>
      <c r="N23" s="49">
        <f>IF(ISNUMBER(G23),VLOOKUP($B23,'Represented Populations'!$A$4:$I$157,4,FALSE),0)</f>
        <v>34200</v>
      </c>
      <c r="O23" s="49">
        <f>IF(ISNUMBER(H23),VLOOKUP($B23,'Represented Populations'!$A$4:$I$157,5,FALSE),0)</f>
        <v>34400</v>
      </c>
      <c r="P23" s="49">
        <f>IF(ISNUMBER(I23),VLOOKUP($B23,'Represented Populations'!$A$4:$I$157,6,FALSE),0)</f>
        <v>34700</v>
      </c>
      <c r="Q23" s="49">
        <f>IF(ISNUMBER(J23),VLOOKUP($B23,'Represented Populations'!$A$4:$I$157,7,FALSE),0)</f>
        <v>35000</v>
      </c>
      <c r="R23" s="42">
        <f>IF(ISNUMBER(K23),VLOOKUP($B23,'Represented Populations'!$A$4:$I$157,8,FALSE),0)</f>
        <v>34900</v>
      </c>
      <c r="T23" s="28"/>
      <c r="U23" s="28"/>
      <c r="V23" s="28"/>
      <c r="W23" s="28"/>
      <c r="X23" s="28"/>
      <c r="Y23" s="28"/>
      <c r="Z23" s="28"/>
      <c r="AA23" s="28"/>
      <c r="AB23" s="28"/>
    </row>
    <row r="24" spans="1:28" s="50" customFormat="1">
      <c r="A24" s="48" t="s">
        <v>50</v>
      </c>
      <c r="B24" s="73" t="s">
        <v>50</v>
      </c>
      <c r="C24" s="40" t="s">
        <v>250</v>
      </c>
      <c r="D24" s="81" t="s">
        <v>265</v>
      </c>
      <c r="E24" s="131"/>
      <c r="F24" s="132">
        <f>VLOOKUP($A24,'Annual Mean'!$A$3:$L$83,7,FALSE)</f>
        <v>12</v>
      </c>
      <c r="G24" s="132">
        <f>VLOOKUP($A24,'Annual Mean'!$A$3:$L$83,8,FALSE)</f>
        <v>11.4</v>
      </c>
      <c r="H24" s="132">
        <f>VLOOKUP($A24,'Annual Mean'!$A$3:$L$83,9,FALSE)</f>
        <v>12.1</v>
      </c>
      <c r="I24" s="132">
        <f>VLOOKUP($A24,'Annual Mean'!$A$3:$L$83,10,FALSE)</f>
        <v>11.2</v>
      </c>
      <c r="J24" s="132">
        <f>VLOOKUP($A24,'Annual Mean'!$A$3:$L$83,11,FALSE)</f>
        <v>11.1</v>
      </c>
      <c r="K24" s="132">
        <f>VLOOKUP($A24,'Annual Mean'!$A$3:$L$83,12,FALSE)</f>
        <v>10.1</v>
      </c>
      <c r="L24" s="100">
        <f>IF(ISNUMBER(E24),VLOOKUP($B24,'Represented Populations'!$A$4:$I$157,2,FALSE),0)</f>
        <v>0</v>
      </c>
      <c r="M24" s="49">
        <f>IF(ISNUMBER(F24),VLOOKUP($B24,'Represented Populations'!$A$4:$I$157,3,FALSE),0)</f>
        <v>17350</v>
      </c>
      <c r="N24" s="49">
        <f>IF(ISNUMBER(G24),VLOOKUP($B24,'Represented Populations'!$A$4:$I$157,4,FALSE),0)</f>
        <v>17350</v>
      </c>
      <c r="O24" s="49">
        <f>IF(ISNUMBER(H24),VLOOKUP($B24,'Represented Populations'!$A$4:$I$157,5,FALSE),0)</f>
        <v>17350</v>
      </c>
      <c r="P24" s="49">
        <f>IF(ISNUMBER(I24),VLOOKUP($B24,'Represented Populations'!$A$4:$I$157,6,FALSE),0)</f>
        <v>17400</v>
      </c>
      <c r="Q24" s="49">
        <f>IF(ISNUMBER(J24),VLOOKUP($B24,'Represented Populations'!$A$4:$I$157,7,FALSE),0)</f>
        <v>17500</v>
      </c>
      <c r="R24" s="42">
        <f>IF(ISNUMBER(K24),VLOOKUP($B24,'Represented Populations'!$A$4:$I$157,8,FALSE),0)</f>
        <v>17600</v>
      </c>
      <c r="T24" s="28"/>
      <c r="U24" s="28"/>
      <c r="V24" s="28"/>
      <c r="W24" s="28"/>
      <c r="X24" s="28"/>
      <c r="Y24" s="28"/>
      <c r="Z24" s="28"/>
      <c r="AA24" s="28"/>
      <c r="AB24" s="28"/>
    </row>
    <row r="25" spans="1:28" s="50" customFormat="1">
      <c r="A25" s="48" t="s">
        <v>107</v>
      </c>
      <c r="B25" s="43" t="s">
        <v>4</v>
      </c>
      <c r="C25" s="40" t="s">
        <v>250</v>
      </c>
      <c r="D25" s="81" t="s">
        <v>266</v>
      </c>
      <c r="E25" s="131">
        <f>VLOOKUP($A25,'Annual Mean'!$A$3:$L$83,6,FALSE)</f>
        <v>21.3</v>
      </c>
      <c r="F25" s="132">
        <f>VLOOKUP($A25,'Annual Mean'!$A$3:$L$83,7,FALSE)</f>
        <v>18.7</v>
      </c>
      <c r="G25" s="132">
        <f>VLOOKUP($A25,'Annual Mean'!$A$3:$L$83,8,FALSE)</f>
        <v>20.8</v>
      </c>
      <c r="H25" s="132">
        <f>VLOOKUP($A25,'Annual Mean'!$A$3:$L$83,9,FALSE)</f>
        <v>19.8</v>
      </c>
      <c r="I25" s="132">
        <f>VLOOKUP($A25,'Annual Mean'!$A$3:$L$83,10,FALSE)</f>
        <v>16.8</v>
      </c>
      <c r="J25" s="132"/>
      <c r="K25" s="132"/>
      <c r="L25" s="100">
        <f>IF(ISNUMBER(E25),VLOOKUP($B25,'Represented Populations'!$A$4:$I$157,2,FALSE)/COUNT(E$25:E$27),0)</f>
        <v>107166.66666666667</v>
      </c>
      <c r="M25" s="49">
        <f>IF(ISNUMBER(F25),VLOOKUP($B25,'Represented Populations'!$A$4:$I$157,3,FALSE)/COUNT(F$25:F$27),0)</f>
        <v>108266.66666666667</v>
      </c>
      <c r="N25" s="49">
        <f>IF(ISNUMBER(G25),VLOOKUP($B25,'Represented Populations'!$A$4:$I$157,4,FALSE)/COUNT(G$25:G$27),0)</f>
        <v>109233.33333333333</v>
      </c>
      <c r="O25" s="49">
        <f>IF(ISNUMBER(H25),VLOOKUP($B25,'Represented Populations'!$A$4:$I$157,5,FALSE)/COUNT(H$25:H$27),0)</f>
        <v>110266.66666666667</v>
      </c>
      <c r="P25" s="49">
        <f>IF(ISNUMBER(I25),VLOOKUP($B25,'Represented Populations'!$A$4:$I$157,6,FALSE)/COUNT(I$25:I$27),0)</f>
        <v>111333.33333333333</v>
      </c>
      <c r="Q25" s="49">
        <f>IF(ISNUMBER(J25),VLOOKUP($B25,'Represented Populations'!$A$4:$I$157,7,FALSE)/COUNT(J$25:J$27),0)</f>
        <v>0</v>
      </c>
      <c r="R25" s="42">
        <f>IF(ISNUMBER(K25),VLOOKUP($B25,'Represented Populations'!$A$4:$I$157,8,FALSE)/COUNT(K$25:K$27),0)</f>
        <v>0</v>
      </c>
      <c r="T25" s="28"/>
      <c r="U25" s="28"/>
      <c r="V25" s="28"/>
      <c r="W25" s="28"/>
      <c r="X25" s="28"/>
      <c r="Y25" s="28"/>
      <c r="Z25" s="28"/>
      <c r="AA25" s="28"/>
      <c r="AB25" s="28"/>
    </row>
    <row r="26" spans="1:28" s="50" customFormat="1">
      <c r="A26" s="48" t="s">
        <v>110</v>
      </c>
      <c r="B26" s="43" t="s">
        <v>4</v>
      </c>
      <c r="C26" s="40" t="s">
        <v>250</v>
      </c>
      <c r="D26" s="81" t="s">
        <v>266</v>
      </c>
      <c r="E26" s="131">
        <f>VLOOKUP($A26,'Annual Mean'!$A$3:$L$83,6,FALSE)</f>
        <v>21.3</v>
      </c>
      <c r="F26" s="132">
        <f>VLOOKUP($A26,'Annual Mean'!$A$3:$L$83,7,FALSE)</f>
        <v>19.399999999999999</v>
      </c>
      <c r="G26" s="132">
        <f>VLOOKUP($A26,'Annual Mean'!$A$3:$L$83,8,FALSE)</f>
        <v>20.399999999999999</v>
      </c>
      <c r="H26" s="132">
        <f>VLOOKUP($A26,'Annual Mean'!$A$3:$L$83,9,FALSE)</f>
        <v>19.8</v>
      </c>
      <c r="I26" s="132">
        <f>VLOOKUP($A26,'Annual Mean'!$A$3:$L$83,10,FALSE)</f>
        <v>17.7</v>
      </c>
      <c r="J26" s="132">
        <f>VLOOKUP($A26,'Annual Mean'!$A$3:$L$83,11,FALSE)</f>
        <v>22.1</v>
      </c>
      <c r="K26" s="132">
        <f>VLOOKUP($A26,'Annual Mean'!$A$3:$L$83,12,FALSE)</f>
        <v>19</v>
      </c>
      <c r="L26" s="100">
        <f>IF(ISNUMBER(E26),VLOOKUP($B26,'Represented Populations'!$A$4:$I$157,2,FALSE)/COUNT(E$25:E$27),0)</f>
        <v>107166.66666666667</v>
      </c>
      <c r="M26" s="49">
        <f>IF(ISNUMBER(F26),VLOOKUP($B26,'Represented Populations'!$A$4:$I$157,3,FALSE)/COUNT(F$25:F$27),0)</f>
        <v>108266.66666666667</v>
      </c>
      <c r="N26" s="49">
        <f>IF(ISNUMBER(G26),VLOOKUP($B26,'Represented Populations'!$A$4:$I$157,4,FALSE)/COUNT(G$25:G$27),0)</f>
        <v>109233.33333333333</v>
      </c>
      <c r="O26" s="49">
        <f>IF(ISNUMBER(H26),VLOOKUP($B26,'Represented Populations'!$A$4:$I$157,5,FALSE)/COUNT(H$25:H$27),0)</f>
        <v>110266.66666666667</v>
      </c>
      <c r="P26" s="49">
        <f>IF(ISNUMBER(I26),VLOOKUP($B26,'Represented Populations'!$A$4:$I$157,6,FALSE)/COUNT(I$25:I$27),0)</f>
        <v>111333.33333333333</v>
      </c>
      <c r="Q26" s="49">
        <f>IF(ISNUMBER(J26),VLOOKUP($B26,'Represented Populations'!$A$4:$I$157,7,FALSE)/COUNT(J$25:J$27),0)</f>
        <v>162850</v>
      </c>
      <c r="R26" s="42">
        <f>IF(ISNUMBER(K26),VLOOKUP($B26,'Represented Populations'!$A$4:$I$157,8,FALSE)/COUNT(K$25:K$27),0)</f>
        <v>160800</v>
      </c>
      <c r="T26" s="28"/>
      <c r="U26" s="28"/>
      <c r="V26" s="28"/>
      <c r="W26" s="28"/>
      <c r="X26" s="28"/>
      <c r="Y26" s="28"/>
      <c r="Z26" s="28"/>
      <c r="AA26" s="28"/>
      <c r="AB26" s="28"/>
    </row>
    <row r="27" spans="1:28" s="50" customFormat="1">
      <c r="A27" s="48" t="s">
        <v>113</v>
      </c>
      <c r="B27" s="43" t="s">
        <v>4</v>
      </c>
      <c r="C27" s="40" t="s">
        <v>250</v>
      </c>
      <c r="D27" s="81" t="s">
        <v>266</v>
      </c>
      <c r="E27" s="131">
        <f>VLOOKUP($A27,'Annual Mean'!$A$3:$L$83,6,FALSE)</f>
        <v>21.4</v>
      </c>
      <c r="F27" s="132">
        <f>VLOOKUP($A27,'Annual Mean'!$A$3:$L$83,7,FALSE)</f>
        <v>22.2</v>
      </c>
      <c r="G27" s="132">
        <f>VLOOKUP($A27,'Annual Mean'!$A$3:$L$83,8,FALSE)</f>
        <v>23.8</v>
      </c>
      <c r="H27" s="132">
        <f>VLOOKUP($A27,'Annual Mean'!$A$3:$L$83,9,FALSE)</f>
        <v>21</v>
      </c>
      <c r="I27" s="132">
        <f>VLOOKUP($A27,'Annual Mean'!$A$3:$L$83,10,FALSE)</f>
        <v>22.1</v>
      </c>
      <c r="J27" s="132">
        <f>VLOOKUP($A27,'Annual Mean'!$A$3:$L$83,11,FALSE)</f>
        <v>25</v>
      </c>
      <c r="K27" s="132">
        <f>VLOOKUP($A27,'Annual Mean'!$A$3:$L$83,12,FALSE)</f>
        <v>22.7</v>
      </c>
      <c r="L27" s="100">
        <f>IF(ISNUMBER(E27),VLOOKUP($B27,'Represented Populations'!$A$4:$I$157,2,FALSE)/COUNT(E$25:E$27),0)</f>
        <v>107166.66666666667</v>
      </c>
      <c r="M27" s="49">
        <f>IF(ISNUMBER(F27),VLOOKUP($B27,'Represented Populations'!$A$4:$I$157,3,FALSE)/COUNT(F$25:F$27),0)</f>
        <v>108266.66666666667</v>
      </c>
      <c r="N27" s="49">
        <f>IF(ISNUMBER(G27),VLOOKUP($B27,'Represented Populations'!$A$4:$I$157,4,FALSE)/COUNT(G$25:G$27),0)</f>
        <v>109233.33333333333</v>
      </c>
      <c r="O27" s="49">
        <f>IF(ISNUMBER(H27),VLOOKUP($B27,'Represented Populations'!$A$4:$I$157,5,FALSE)/COUNT(H$25:H$27),0)</f>
        <v>110266.66666666667</v>
      </c>
      <c r="P27" s="49">
        <f>IF(ISNUMBER(I27),VLOOKUP($B27,'Represented Populations'!$A$4:$I$157,6,FALSE)/COUNT(I$25:I$27),0)</f>
        <v>111333.33333333333</v>
      </c>
      <c r="Q27" s="49">
        <f>IF(ISNUMBER(J27),VLOOKUP($B27,'Represented Populations'!$A$4:$I$157,7,FALSE)/COUNT(J$25:J$27),0)</f>
        <v>162850</v>
      </c>
      <c r="R27" s="42">
        <f>IF(ISNUMBER(K27),VLOOKUP($B27,'Represented Populations'!$A$4:$I$157,8,FALSE)/COUNT(K$25:K$27),0)</f>
        <v>160800</v>
      </c>
      <c r="T27" s="28"/>
      <c r="U27" s="28"/>
      <c r="V27" s="28"/>
      <c r="W27" s="28"/>
      <c r="X27" s="28"/>
      <c r="Y27" s="28"/>
      <c r="Z27" s="28"/>
      <c r="AA27" s="28"/>
      <c r="AB27" s="28"/>
    </row>
    <row r="28" spans="1:28" s="50" customFormat="1">
      <c r="A28" s="80" t="s">
        <v>30</v>
      </c>
      <c r="B28" s="75" t="s">
        <v>29</v>
      </c>
      <c r="C28" s="40" t="s">
        <v>250</v>
      </c>
      <c r="D28" s="81" t="s">
        <v>265</v>
      </c>
      <c r="E28" s="131">
        <f>VLOOKUP($A28,'Annual Mean'!$A$3:$L$83,6,FALSE)</f>
        <v>16.5</v>
      </c>
      <c r="F28" s="132">
        <f>VLOOKUP($A28,'Annual Mean'!$A$3:$L$83,7,FALSE)</f>
        <v>14.7</v>
      </c>
      <c r="G28" s="132">
        <f>VLOOKUP($A28,'Annual Mean'!$A$3:$L$83,8,FALSE)</f>
        <v>15.3</v>
      </c>
      <c r="H28" s="132">
        <f>VLOOKUP($A28,'Annual Mean'!$A$3:$L$83,9,FALSE)</f>
        <v>14.2</v>
      </c>
      <c r="I28" s="132">
        <f>VLOOKUP($A28,'Annual Mean'!$A$3:$L$83,10,FALSE)</f>
        <v>13.1</v>
      </c>
      <c r="J28" s="132">
        <f>VLOOKUP($A28,'Annual Mean'!$A$3:$L$83,11,FALSE)</f>
        <v>14</v>
      </c>
      <c r="K28" s="132">
        <f>VLOOKUP($A28,'Annual Mean'!$A$3:$L$83,12,FALSE)</f>
        <v>13.4</v>
      </c>
      <c r="L28" s="100">
        <f>IF(ISNUMBER(E28),VLOOKUP($B28,'Represented Populations'!$A$4:$I$157,2,FALSE),0)</f>
        <v>126100</v>
      </c>
      <c r="M28" s="49">
        <f>IF(ISNUMBER(F28),VLOOKUP($B28,'Represented Populations'!$A$4:$I$157,3,FALSE),0)</f>
        <v>128200</v>
      </c>
      <c r="N28" s="49">
        <f>IF(ISNUMBER(G28),VLOOKUP($B28,'Represented Populations'!$A$4:$I$157,4,FALSE),0)</f>
        <v>130000</v>
      </c>
      <c r="O28" s="49">
        <f>IF(ISNUMBER(H28),VLOOKUP($B28,'Represented Populations'!$A$4:$I$157,5,FALSE),0)</f>
        <v>132100</v>
      </c>
      <c r="P28" s="49">
        <f>IF(ISNUMBER(I28),VLOOKUP($B28,'Represented Populations'!$A$4:$I$157,6,FALSE),0)</f>
        <v>134300</v>
      </c>
      <c r="Q28" s="49">
        <f>IF(ISNUMBER(J28),VLOOKUP($B28,'Represented Populations'!$A$4:$I$157,7,FALSE),0)</f>
        <v>136000</v>
      </c>
      <c r="R28" s="42">
        <f>IF(ISNUMBER(K28),VLOOKUP($B28,'Represented Populations'!$A$4:$I$157,8,FALSE),0)</f>
        <v>138000</v>
      </c>
      <c r="T28" s="28"/>
      <c r="U28" s="28"/>
      <c r="V28" s="28"/>
      <c r="W28" s="28"/>
      <c r="X28" s="28"/>
      <c r="Y28" s="28"/>
      <c r="Z28" s="28"/>
      <c r="AA28" s="28"/>
      <c r="AB28" s="28"/>
    </row>
    <row r="29" spans="1:28" s="50" customFormat="1">
      <c r="A29" s="82" t="s">
        <v>129</v>
      </c>
      <c r="B29" s="21" t="s">
        <v>129</v>
      </c>
      <c r="C29" s="40" t="s">
        <v>251</v>
      </c>
      <c r="D29" s="81" t="s">
        <v>265</v>
      </c>
      <c r="E29" s="131">
        <f>VLOOKUP($A29,'Annual Mean'!$A$3:$L$83,6,FALSE)</f>
        <v>12.5</v>
      </c>
      <c r="F29" s="132">
        <f>VLOOKUP($A29,'Annual Mean'!$A$3:$L$83,7,FALSE)</f>
        <v>12.8</v>
      </c>
      <c r="G29" s="132">
        <f>VLOOKUP($A29,'Annual Mean'!$A$3:$L$83,8,FALSE)</f>
        <v>12.9</v>
      </c>
      <c r="H29" s="132"/>
      <c r="I29" s="132"/>
      <c r="J29" s="132"/>
      <c r="K29" s="132"/>
      <c r="L29" s="100">
        <f>IF(ISNUMBER(E29),VLOOKUP($B29,'Represented Populations'!$A$4:$I$157,2,FALSE),0)</f>
        <v>73600</v>
      </c>
      <c r="M29" s="49">
        <f>IF(ISNUMBER(F29),VLOOKUP($B29,'Represented Populations'!$A$4:$I$157,3,FALSE),0)</f>
        <v>73900</v>
      </c>
      <c r="N29" s="49">
        <f>IF(ISNUMBER(G29),VLOOKUP($B29,'Represented Populations'!$A$4:$I$157,4,FALSE),0)</f>
        <v>74200</v>
      </c>
      <c r="O29" s="49">
        <f>IF(ISNUMBER(H29),VLOOKUP($B29,'Represented Populations'!$A$4:$I$157,5,FALSE),0)</f>
        <v>0</v>
      </c>
      <c r="P29" s="49">
        <f>IF(ISNUMBER(I29),VLOOKUP($B29,'Represented Populations'!$A$4:$I$157,6,FALSE),0)</f>
        <v>0</v>
      </c>
      <c r="Q29" s="49">
        <f>IF(ISNUMBER(J29),VLOOKUP($B29,'Represented Populations'!$A$4:$I$157,7,FALSE),0)</f>
        <v>0</v>
      </c>
      <c r="R29" s="42">
        <f>IF(ISNUMBER(K29),VLOOKUP($B29,'Represented Populations'!$A$4:$I$157,8,FALSE),0)</f>
        <v>0</v>
      </c>
      <c r="T29" s="28"/>
      <c r="U29" s="28"/>
      <c r="V29" s="28"/>
      <c r="W29" s="28"/>
      <c r="X29" s="28"/>
      <c r="Y29" s="28"/>
      <c r="Z29" s="28"/>
      <c r="AA29" s="28"/>
      <c r="AB29" s="28"/>
    </row>
    <row r="30" spans="1:28" s="50" customFormat="1">
      <c r="A30" s="48" t="s">
        <v>138</v>
      </c>
      <c r="B30" s="43" t="s">
        <v>138</v>
      </c>
      <c r="C30" s="40" t="s">
        <v>251</v>
      </c>
      <c r="D30" s="81" t="s">
        <v>266</v>
      </c>
      <c r="E30" s="131"/>
      <c r="F30" s="132">
        <f>VLOOKUP($A30,'Annual Mean'!$A$3:$L$83,7,FALSE)</f>
        <v>19.899999999999999</v>
      </c>
      <c r="G30" s="132">
        <f>VLOOKUP($A30,'Annual Mean'!$A$3:$L$83,8,FALSE)</f>
        <v>23.8</v>
      </c>
      <c r="H30" s="132">
        <f>VLOOKUP($A30,'Annual Mean'!$A$3:$L$83,9,FALSE)</f>
        <v>20.3</v>
      </c>
      <c r="I30" s="132">
        <f>VLOOKUP($A30,'Annual Mean'!$A$3:$L$83,10,FALSE)</f>
        <v>24.7</v>
      </c>
      <c r="J30" s="132">
        <f>VLOOKUP($A30,'Annual Mean'!$A$3:$L$83,11,FALSE)</f>
        <v>25.1</v>
      </c>
      <c r="K30" s="132">
        <f>VLOOKUP($A30,'Annual Mean'!$A$3:$L$83,12,FALSE)</f>
        <v>18.100000000000001</v>
      </c>
      <c r="L30" s="100">
        <f>IF(ISNUMBER(E30),VLOOKUP($B30,'Represented Populations'!$A$4:$I$157,2,FALSE),0)</f>
        <v>0</v>
      </c>
      <c r="M30" s="49">
        <f>IF(ISNUMBER(F30),VLOOKUP($B30,'Represented Populations'!$A$4:$I$157,3,FALSE),0)</f>
        <v>85190</v>
      </c>
      <c r="N30" s="49">
        <f>IF(ISNUMBER(G30),VLOOKUP($B30,'Represented Populations'!$A$4:$I$157,4,FALSE),0)</f>
        <v>85270</v>
      </c>
      <c r="O30" s="49">
        <f>IF(ISNUMBER(H30),VLOOKUP($B30,'Represented Populations'!$A$4:$I$157,5,FALSE),0)</f>
        <v>85630</v>
      </c>
      <c r="P30" s="49">
        <f>IF(ISNUMBER(I30),VLOOKUP($B30,'Represented Populations'!$A$4:$I$157,6,FALSE),0)</f>
        <v>86240</v>
      </c>
      <c r="Q30" s="49">
        <f>IF(ISNUMBER(J30),VLOOKUP($B30,'Represented Populations'!$A$4:$I$157,7,FALSE),0)</f>
        <v>86940</v>
      </c>
      <c r="R30" s="42">
        <f>IF(ISNUMBER(K30),VLOOKUP($B30,'Represented Populations'!$A$4:$I$157,8,FALSE),0)</f>
        <v>87280</v>
      </c>
      <c r="T30" s="28"/>
      <c r="U30" s="28"/>
      <c r="V30" s="28"/>
      <c r="W30" s="28"/>
      <c r="X30" s="28"/>
      <c r="Y30" s="28"/>
      <c r="Z30" s="28"/>
      <c r="AA30" s="28"/>
      <c r="AB30" s="28"/>
    </row>
    <row r="31" spans="1:28" s="50" customFormat="1">
      <c r="A31" s="80" t="s">
        <v>100</v>
      </c>
      <c r="B31" s="74" t="s">
        <v>97</v>
      </c>
      <c r="C31" s="40" t="s">
        <v>251</v>
      </c>
      <c r="D31" s="81" t="s">
        <v>265</v>
      </c>
      <c r="E31" s="131">
        <f>VLOOKUP($A31,'Annual Mean'!$A$3:$L$83,6,FALSE)</f>
        <v>12.2</v>
      </c>
      <c r="F31" s="132">
        <f>VLOOKUP($A31,'Annual Mean'!$A$3:$L$83,7,FALSE)</f>
        <v>12.4</v>
      </c>
      <c r="G31" s="132">
        <f>VLOOKUP($A31,'Annual Mean'!$A$3:$L$83,8,FALSE)</f>
        <v>13.2</v>
      </c>
      <c r="H31" s="132">
        <f>VLOOKUP($A31,'Annual Mean'!$A$3:$L$83,9,FALSE)</f>
        <v>13.3</v>
      </c>
      <c r="I31" s="132">
        <f>VLOOKUP($A31,'Annual Mean'!$A$3:$L$83,10,FALSE)</f>
        <v>12.2</v>
      </c>
      <c r="J31" s="132">
        <f>VLOOKUP($A31,'Annual Mean'!$A$3:$L$83,11,FALSE)</f>
        <v>13.7</v>
      </c>
      <c r="K31" s="132">
        <f>VLOOKUP($A31,'Annual Mean'!$A$3:$L$83,12,FALSE)</f>
        <v>13.4</v>
      </c>
      <c r="L31" s="100">
        <f>IF(ISNUMBER(E31),VLOOKUP($B31,'Represented Populations'!$A$4:$I$157,2,FALSE),0)</f>
        <v>63300</v>
      </c>
      <c r="M31" s="49">
        <f>IF(ISNUMBER(F31),VLOOKUP($B31,'Represented Populations'!$A$4:$I$157,3,FALSE),0)</f>
        <v>64300</v>
      </c>
      <c r="N31" s="49">
        <f>IF(ISNUMBER(G31),VLOOKUP($B31,'Represented Populations'!$A$4:$I$157,4,FALSE),0)</f>
        <v>65200</v>
      </c>
      <c r="O31" s="49">
        <f>IF(ISNUMBER(H31),VLOOKUP($B31,'Represented Populations'!$A$4:$I$157,5,FALSE),0)</f>
        <v>66100</v>
      </c>
      <c r="P31" s="49">
        <f>IF(ISNUMBER(I31),VLOOKUP($B31,'Represented Populations'!$A$4:$I$157,6,FALSE),0)</f>
        <v>67200</v>
      </c>
      <c r="Q31" s="49">
        <f>IF(ISNUMBER(J31),VLOOKUP($B31,'Represented Populations'!$A$4:$I$157,7,FALSE),0)</f>
        <v>67900</v>
      </c>
      <c r="R31" s="42">
        <f>IF(ISNUMBER(K31),VLOOKUP($B31,'Represented Populations'!$A$4:$I$157,8,FALSE),0)</f>
        <v>67900</v>
      </c>
      <c r="T31" s="28"/>
      <c r="U31" s="28"/>
      <c r="V31" s="28"/>
      <c r="W31" s="28"/>
      <c r="X31" s="28"/>
      <c r="Y31" s="28"/>
      <c r="Z31" s="28"/>
      <c r="AA31" s="28"/>
      <c r="AB31" s="28"/>
    </row>
    <row r="32" spans="1:28" s="50" customFormat="1">
      <c r="A32" s="48" t="s">
        <v>16</v>
      </c>
      <c r="B32" s="73" t="s">
        <v>15</v>
      </c>
      <c r="C32" s="40" t="s">
        <v>251</v>
      </c>
      <c r="D32" s="81" t="s">
        <v>265</v>
      </c>
      <c r="E32" s="131">
        <f>VLOOKUP($A32,'Annual Mean'!$A$3:$L$83,6,FALSE)</f>
        <v>19.3</v>
      </c>
      <c r="F32" s="132">
        <f>VLOOKUP($A32,'Annual Mean'!$A$3:$L$83,7,FALSE)</f>
        <v>19.899999999999999</v>
      </c>
      <c r="G32" s="132">
        <f>VLOOKUP($A32,'Annual Mean'!$A$3:$L$83,8,FALSE)</f>
        <v>21.3</v>
      </c>
      <c r="H32" s="132">
        <f>VLOOKUP($A32,'Annual Mean'!$A$3:$L$83,9,FALSE)</f>
        <v>25.9</v>
      </c>
      <c r="I32" s="132">
        <f>VLOOKUP($A32,'Annual Mean'!$A$3:$L$83,10,FALSE)</f>
        <v>20.9</v>
      </c>
      <c r="J32" s="132">
        <f>VLOOKUP($A32,'Annual Mean'!$A$3:$L$83,11,FALSE)</f>
        <v>13.2</v>
      </c>
      <c r="K32" s="132">
        <f>VLOOKUP($A32,'Annual Mean'!$A$3:$L$83,12,FALSE)</f>
        <v>18.2</v>
      </c>
      <c r="L32" s="100">
        <f>IF(ISNUMBER(E32),VLOOKUP($B32,'Represented Populations'!$A$4:$I$157,2,FALSE)/COUNT(E$32:E$34),0)</f>
        <v>26300</v>
      </c>
      <c r="M32" s="49">
        <f>IF(ISNUMBER(F32),VLOOKUP($B32,'Represented Populations'!$A$4:$I$157,3,FALSE)/COUNT(F$32:F$34),0)</f>
        <v>26250</v>
      </c>
      <c r="N32" s="49">
        <f>IF(ISNUMBER(G32),VLOOKUP($B32,'Represented Populations'!$A$4:$I$157,4,FALSE)/COUNT(G$32:G$34),0)</f>
        <v>17500</v>
      </c>
      <c r="O32" s="49">
        <f>IF(ISNUMBER(H32),VLOOKUP($B32,'Represented Populations'!$A$4:$I$157,5,FALSE)/COUNT(H$32:H$34),0)</f>
        <v>17533.333333333332</v>
      </c>
      <c r="P32" s="49">
        <f>IF(ISNUMBER(I32),VLOOKUP($B32,'Represented Populations'!$A$4:$I$157,6,FALSE)/COUNT(I$32:I$34),0)</f>
        <v>17633.333333333332</v>
      </c>
      <c r="Q32" s="49">
        <f>IF(ISNUMBER(J32),VLOOKUP($B32,'Represented Populations'!$A$4:$I$157,7,FALSE)/COUNT(J$32:J$34),0)</f>
        <v>17733.333333333332</v>
      </c>
      <c r="R32" s="42">
        <f>IF(ISNUMBER(K32),VLOOKUP($B32,'Represented Populations'!$A$4:$I$157,8,FALSE)/COUNT(K$32:K$34),0)</f>
        <v>26450</v>
      </c>
      <c r="T32" s="28"/>
      <c r="U32" s="28"/>
      <c r="V32" s="28"/>
      <c r="W32" s="28"/>
      <c r="X32" s="28"/>
      <c r="Y32" s="28"/>
      <c r="Z32" s="28"/>
      <c r="AA32" s="28"/>
      <c r="AB32" s="28"/>
    </row>
    <row r="33" spans="1:28" s="50" customFormat="1">
      <c r="A33" s="80" t="s">
        <v>98</v>
      </c>
      <c r="B33" s="74" t="s">
        <v>15</v>
      </c>
      <c r="C33" s="40" t="s">
        <v>251</v>
      </c>
      <c r="D33" s="81" t="s">
        <v>265</v>
      </c>
      <c r="E33" s="131"/>
      <c r="F33" s="132"/>
      <c r="G33" s="132">
        <f>VLOOKUP($A33,'Annual Mean'!$A$3:$L$83,8,FALSE)</f>
        <v>17.399999999999999</v>
      </c>
      <c r="H33" s="132">
        <f>VLOOKUP($A33,'Annual Mean'!$A$3:$L$83,9,FALSE)</f>
        <v>17.399999999999999</v>
      </c>
      <c r="I33" s="132">
        <f>VLOOKUP($A33,'Annual Mean'!$A$3:$L$83,10,FALSE)</f>
        <v>20.399999999999999</v>
      </c>
      <c r="J33" s="132">
        <f>VLOOKUP($A33,'Annual Mean'!$A$3:$L$83,11,FALSE)</f>
        <v>15.4</v>
      </c>
      <c r="K33" s="132">
        <f>VLOOKUP($A33,'Annual Mean'!$A$3:$L$83,12,FALSE)</f>
        <v>24.3</v>
      </c>
      <c r="L33" s="100">
        <f>IF(ISNUMBER(E33),VLOOKUP($B33,'Represented Populations'!$A$4:$I$157,2,FALSE)/COUNT(E$32:E$34),0)</f>
        <v>0</v>
      </c>
      <c r="M33" s="49">
        <f>IF(ISNUMBER(F33),VLOOKUP($B33,'Represented Populations'!$A$4:$I$157,3,FALSE)/COUNT(F$32:F$34),0)</f>
        <v>0</v>
      </c>
      <c r="N33" s="49">
        <f>IF(ISNUMBER(G33),VLOOKUP($B33,'Represented Populations'!$A$4:$I$157,4,FALSE)/COUNT(G$32:G$34),0)</f>
        <v>17500</v>
      </c>
      <c r="O33" s="49">
        <f>IF(ISNUMBER(H33),VLOOKUP($B33,'Represented Populations'!$A$4:$I$157,5,FALSE)/COUNT(H$32:H$34),0)</f>
        <v>17533.333333333332</v>
      </c>
      <c r="P33" s="49">
        <f>IF(ISNUMBER(I33),VLOOKUP($B33,'Represented Populations'!$A$4:$I$157,6,FALSE)/COUNT(I$32:I$34),0)</f>
        <v>17633.333333333332</v>
      </c>
      <c r="Q33" s="49">
        <f>IF(ISNUMBER(J33),VLOOKUP($B33,'Represented Populations'!$A$4:$I$157,7,FALSE)/COUNT(J$32:J$34),0)</f>
        <v>17733.333333333332</v>
      </c>
      <c r="R33" s="42">
        <f>IF(ISNUMBER(K33),VLOOKUP($B33,'Represented Populations'!$A$4:$I$157,8,FALSE)/COUNT(K$32:K$34),0)</f>
        <v>26450</v>
      </c>
      <c r="T33" s="28"/>
      <c r="U33" s="28"/>
      <c r="V33" s="28"/>
      <c r="W33" s="28"/>
      <c r="X33" s="28"/>
      <c r="Y33" s="28"/>
      <c r="Z33" s="28"/>
      <c r="AA33" s="28"/>
      <c r="AB33" s="28"/>
    </row>
    <row r="34" spans="1:28" s="50" customFormat="1">
      <c r="A34" s="80" t="s">
        <v>102</v>
      </c>
      <c r="B34" s="74" t="s">
        <v>15</v>
      </c>
      <c r="C34" s="40" t="s">
        <v>251</v>
      </c>
      <c r="D34" s="81" t="s">
        <v>265</v>
      </c>
      <c r="E34" s="131">
        <f>VLOOKUP($A34,'Annual Mean'!$A$3:$L$83,6,FALSE)</f>
        <v>17.3</v>
      </c>
      <c r="F34" s="132">
        <f>VLOOKUP($A34,'Annual Mean'!$A$3:$L$83,7,FALSE)</f>
        <v>11.5</v>
      </c>
      <c r="G34" s="132">
        <f>VLOOKUP($A34,'Annual Mean'!$A$3:$L$83,8,FALSE)</f>
        <v>12.3</v>
      </c>
      <c r="H34" s="132">
        <f>VLOOKUP($A34,'Annual Mean'!$A$3:$L$83,9,FALSE)</f>
        <v>14.1</v>
      </c>
      <c r="I34" s="132">
        <f>VLOOKUP($A34,'Annual Mean'!$A$3:$L$83,10,FALSE)</f>
        <v>18.5</v>
      </c>
      <c r="J34" s="132">
        <f>VLOOKUP($A34,'Annual Mean'!$A$3:$L$83,11,FALSE)</f>
        <v>13.9</v>
      </c>
      <c r="K34" s="132"/>
      <c r="L34" s="100">
        <f>IF(ISNUMBER(E34),VLOOKUP($B34,'Represented Populations'!$A$4:$I$157,2,FALSE)/COUNT(E$32:E$34),0)</f>
        <v>26300</v>
      </c>
      <c r="M34" s="49">
        <f>IF(ISNUMBER(F34),VLOOKUP($B34,'Represented Populations'!$A$4:$I$157,3,FALSE)/COUNT(F$32:F$34),0)</f>
        <v>26250</v>
      </c>
      <c r="N34" s="49">
        <f>IF(ISNUMBER(G34),VLOOKUP($B34,'Represented Populations'!$A$4:$I$157,4,FALSE)/COUNT(G$32:G$34),0)</f>
        <v>17500</v>
      </c>
      <c r="O34" s="49">
        <f>IF(ISNUMBER(H34),VLOOKUP($B34,'Represented Populations'!$A$4:$I$157,5,FALSE)/COUNT(H$32:H$34),0)</f>
        <v>17533.333333333332</v>
      </c>
      <c r="P34" s="49">
        <f>IF(ISNUMBER(I34),VLOOKUP($B34,'Represented Populations'!$A$4:$I$157,6,FALSE)/COUNT(I$32:I$34),0)</f>
        <v>17633.333333333332</v>
      </c>
      <c r="Q34" s="49">
        <f>IF(ISNUMBER(J34),VLOOKUP($B34,'Represented Populations'!$A$4:$I$157,7,FALSE)/COUNT(J$32:J$34),0)</f>
        <v>17733.333333333332</v>
      </c>
      <c r="R34" s="42">
        <f>IF(ISNUMBER(K34),VLOOKUP($B34,'Represented Populations'!$A$4:$I$157,8,FALSE)/COUNT(K$32:K$34),0)</f>
        <v>0</v>
      </c>
      <c r="S34" s="136"/>
      <c r="T34" s="28"/>
      <c r="U34" s="28"/>
      <c r="V34" s="28"/>
      <c r="W34" s="28"/>
      <c r="X34" s="28"/>
      <c r="Y34" s="28"/>
      <c r="Z34" s="28"/>
      <c r="AA34" s="28"/>
      <c r="AB34" s="28"/>
    </row>
    <row r="35" spans="1:28" s="50" customFormat="1">
      <c r="A35" s="48" t="s">
        <v>106</v>
      </c>
      <c r="B35" s="43" t="s">
        <v>7</v>
      </c>
      <c r="C35" s="40" t="s">
        <v>251</v>
      </c>
      <c r="D35" s="81" t="s">
        <v>266</v>
      </c>
      <c r="E35" s="131"/>
      <c r="F35" s="132">
        <f>VLOOKUP($A35,'Annual Mean'!$A$3:$L$83,7,FALSE)</f>
        <v>24.8</v>
      </c>
      <c r="G35" s="132">
        <f>VLOOKUP($A35,'Annual Mean'!$A$3:$L$83,8,FALSE)</f>
        <v>28.2</v>
      </c>
      <c r="H35" s="132">
        <f>VLOOKUP($A35,'Annual Mean'!$A$3:$L$83,9,FALSE)</f>
        <v>27.9</v>
      </c>
      <c r="I35" s="132">
        <f>VLOOKUP($A35,'Annual Mean'!$A$3:$L$83,10,FALSE)</f>
        <v>29.9</v>
      </c>
      <c r="J35" s="132">
        <f>VLOOKUP($A35,'Annual Mean'!$A$3:$L$83,11,FALSE)</f>
        <v>27.6</v>
      </c>
      <c r="K35" s="132">
        <f>VLOOKUP($A35,'Annual Mean'!$A$3:$L$83,12,FALSE)</f>
        <v>27.2</v>
      </c>
      <c r="L35" s="100">
        <f>IF(ISNUMBER(E35),VLOOKUP($B35,'Represented Populations'!$A$4:$I$157,2,FALSE),0)</f>
        <v>0</v>
      </c>
      <c r="M35" s="49">
        <f>IF(ISNUMBER(F35),VLOOKUP($B35,'Represented Populations'!$A$4:$I$157,3,FALSE),0)</f>
        <v>25400</v>
      </c>
      <c r="N35" s="49">
        <f>IF(ISNUMBER(G35),VLOOKUP($B35,'Represented Populations'!$A$4:$I$157,4,FALSE),0)</f>
        <v>25300</v>
      </c>
      <c r="O35" s="49">
        <f>IF(ISNUMBER(H35),VLOOKUP($B35,'Represented Populations'!$A$4:$I$157,5,FALSE),0)</f>
        <v>25400</v>
      </c>
      <c r="P35" s="49">
        <f>IF(ISNUMBER(I35),VLOOKUP($B35,'Represented Populations'!$A$4:$I$157,6,FALSE),0)</f>
        <v>25400</v>
      </c>
      <c r="Q35" s="49">
        <f>IF(ISNUMBER(J35),VLOOKUP($B35,'Represented Populations'!$A$4:$I$157,7,FALSE),0)</f>
        <v>25500</v>
      </c>
      <c r="R35" s="42">
        <f>IF(ISNUMBER(K35),VLOOKUP($B35,'Represented Populations'!$A$4:$I$157,8,FALSE),0)</f>
        <v>25600</v>
      </c>
      <c r="S35" s="28"/>
      <c r="T35" s="28"/>
      <c r="U35" s="28"/>
      <c r="V35" s="28"/>
      <c r="W35" s="28"/>
      <c r="X35" s="28"/>
      <c r="Y35" s="28"/>
      <c r="Z35" s="28"/>
      <c r="AA35" s="28"/>
      <c r="AB35" s="28"/>
    </row>
    <row r="36" spans="1:28" s="50" customFormat="1">
      <c r="A36" s="48" t="s">
        <v>54</v>
      </c>
      <c r="B36" s="73" t="s">
        <v>53</v>
      </c>
      <c r="C36" s="40" t="s">
        <v>251</v>
      </c>
      <c r="D36" s="81" t="s">
        <v>265</v>
      </c>
      <c r="E36" s="131">
        <f>VLOOKUP($A36,'Annual Mean'!$A$3:$L$83,6,FALSE)</f>
        <v>19.8</v>
      </c>
      <c r="F36" s="132">
        <f>VLOOKUP($A36,'Annual Mean'!$A$3:$L$83,7,FALSE)</f>
        <v>17.8</v>
      </c>
      <c r="G36" s="132">
        <f>VLOOKUP($A36,'Annual Mean'!$A$3:$L$83,8,FALSE)</f>
        <v>19.3</v>
      </c>
      <c r="H36" s="132">
        <f>VLOOKUP($A36,'Annual Mean'!$A$3:$L$83,9,FALSE)</f>
        <v>17.600000000000001</v>
      </c>
      <c r="I36" s="132">
        <f>VLOOKUP($A36,'Annual Mean'!$A$3:$L$83,10,FALSE)</f>
        <v>17.100000000000001</v>
      </c>
      <c r="J36" s="132">
        <f>VLOOKUP($A36,'Annual Mean'!$A$3:$L$83,11,FALSE)</f>
        <v>16.5</v>
      </c>
      <c r="K36" s="132">
        <f>VLOOKUP($A36,'Annual Mean'!$A$3:$L$83,12,FALSE)</f>
        <v>15.3</v>
      </c>
      <c r="L36" s="100">
        <f>IF(ISNUMBER(E36),VLOOKUP($B36,'Represented Populations'!$A$4:$I$157,2,FALSE),0)</f>
        <v>50700</v>
      </c>
      <c r="M36" s="49">
        <f>IF(ISNUMBER(F36),VLOOKUP($B36,'Represented Populations'!$A$4:$I$157,3,FALSE),0)</f>
        <v>50900</v>
      </c>
      <c r="N36" s="49">
        <f>IF(ISNUMBER(G36),VLOOKUP($B36,'Represented Populations'!$A$4:$I$157,4,FALSE),0)</f>
        <v>51100</v>
      </c>
      <c r="O36" s="49">
        <f>IF(ISNUMBER(H36),VLOOKUP($B36,'Represented Populations'!$A$4:$I$157,5,FALSE),0)</f>
        <v>51300</v>
      </c>
      <c r="P36" s="49">
        <f>IF(ISNUMBER(I36),VLOOKUP($B36,'Represented Populations'!$A$4:$I$157,6,FALSE),0)</f>
        <v>51700</v>
      </c>
      <c r="Q36" s="49">
        <f>IF(ISNUMBER(J36),VLOOKUP($B36,'Represented Populations'!$A$4:$I$157,7,FALSE),0)</f>
        <v>51800</v>
      </c>
      <c r="R36" s="42">
        <f>IF(ISNUMBER(K36),VLOOKUP($B36,'Represented Populations'!$A$4:$I$157,8,FALSE),0)</f>
        <v>51600</v>
      </c>
      <c r="T36" s="28"/>
      <c r="U36" s="28"/>
      <c r="V36" s="28"/>
      <c r="W36" s="28"/>
      <c r="X36" s="28"/>
      <c r="Y36" s="28"/>
      <c r="Z36" s="28"/>
      <c r="AA36" s="28"/>
      <c r="AB36" s="28"/>
    </row>
    <row r="37" spans="1:28" s="50" customFormat="1">
      <c r="A37" s="48" t="s">
        <v>52</v>
      </c>
      <c r="B37" s="20" t="s">
        <v>165</v>
      </c>
      <c r="C37" s="40" t="s">
        <v>251</v>
      </c>
      <c r="D37" s="81" t="s">
        <v>265</v>
      </c>
      <c r="E37" s="131">
        <f>VLOOKUP($A37,'Annual Mean'!$A$3:$L$83,6,FALSE)</f>
        <v>15.6</v>
      </c>
      <c r="F37" s="132">
        <f>VLOOKUP($A37,'Annual Mean'!$A$3:$L$83,7,FALSE)</f>
        <v>16.3</v>
      </c>
      <c r="G37" s="132">
        <f>VLOOKUP($A37,'Annual Mean'!$A$3:$L$83,8,FALSE)</f>
        <v>16.3</v>
      </c>
      <c r="H37" s="132">
        <f>VLOOKUP($A37,'Annual Mean'!$A$3:$L$83,9,FALSE)</f>
        <v>15.6</v>
      </c>
      <c r="I37" s="132">
        <f>VLOOKUP($A37,'Annual Mean'!$A$3:$L$83,10,FALSE)</f>
        <v>14.9</v>
      </c>
      <c r="J37" s="132">
        <f>VLOOKUP($A37,'Annual Mean'!$A$3:$L$83,11,FALSE)</f>
        <v>14.7</v>
      </c>
      <c r="K37" s="132">
        <f>VLOOKUP($A37,'Annual Mean'!$A$3:$L$83,12,FALSE)</f>
        <v>13.7</v>
      </c>
      <c r="L37" s="100">
        <f>IF(ISNUMBER(E37),VLOOKUP($B37,'Represented Populations'!$A$4:$I$157,2,FALSE)/COUNT(E$37,E$38),0)</f>
        <v>27300</v>
      </c>
      <c r="M37" s="49">
        <f>IF(ISNUMBER(F37),VLOOKUP($B37,'Represented Populations'!$A$4:$I$157,3,FALSE)/COUNT(F$37,F$38),0)</f>
        <v>27400</v>
      </c>
      <c r="N37" s="49">
        <f>IF(ISNUMBER(G37),VLOOKUP($B37,'Represented Populations'!$A$4:$I$157,4,FALSE)/COUNT(G$37,G$38),0)</f>
        <v>27400</v>
      </c>
      <c r="O37" s="49">
        <f>IF(ISNUMBER(H37),VLOOKUP($B37,'Represented Populations'!$A$4:$I$157,5,FALSE)/COUNT(H$37,H$38),0)</f>
        <v>27500</v>
      </c>
      <c r="P37" s="49">
        <f>IF(ISNUMBER(I37),VLOOKUP($B37,'Represented Populations'!$A$4:$I$157,6,FALSE)/COUNT(I$37,I$38),0)</f>
        <v>27700</v>
      </c>
      <c r="Q37" s="49">
        <f>IF(ISNUMBER(J37),VLOOKUP($B37,'Represented Populations'!$A$4:$I$157,7,FALSE)/COUNT(J$37,J$38),0)</f>
        <v>27800</v>
      </c>
      <c r="R37" s="42">
        <f>IF(ISNUMBER(K37),VLOOKUP($B37,'Represented Populations'!$A$4:$I$157,8,FALSE)/COUNT(K$37,K$38),0)</f>
        <v>55600</v>
      </c>
      <c r="T37" s="28"/>
      <c r="U37" s="28"/>
      <c r="V37" s="28"/>
      <c r="W37" s="28"/>
      <c r="X37" s="28"/>
      <c r="Y37" s="28"/>
      <c r="Z37" s="28"/>
      <c r="AA37" s="28"/>
      <c r="AB37" s="28"/>
    </row>
    <row r="38" spans="1:28" s="50" customFormat="1">
      <c r="A38" s="48" t="s">
        <v>128</v>
      </c>
      <c r="B38" s="20" t="s">
        <v>165</v>
      </c>
      <c r="C38" s="40" t="s">
        <v>251</v>
      </c>
      <c r="D38" s="81" t="s">
        <v>265</v>
      </c>
      <c r="E38" s="131">
        <f>VLOOKUP($A38,'Annual Mean'!$A$3:$L$83,6,FALSE)</f>
        <v>23.7</v>
      </c>
      <c r="F38" s="132">
        <f>VLOOKUP($A38,'Annual Mean'!$A$3:$L$83,7,FALSE)</f>
        <v>25.1</v>
      </c>
      <c r="G38" s="132">
        <f>VLOOKUP($A38,'Annual Mean'!$A$3:$L$83,8,FALSE)</f>
        <v>17.3</v>
      </c>
      <c r="H38" s="132">
        <f>VLOOKUP($A38,'Annual Mean'!$A$3:$L$83,9,FALSE)</f>
        <v>15.2</v>
      </c>
      <c r="I38" s="132">
        <f>VLOOKUP($A38,'Annual Mean'!$A$3:$L$83,10,FALSE)</f>
        <v>14.9</v>
      </c>
      <c r="J38" s="132">
        <f>VLOOKUP($A38,'Annual Mean'!$A$3:$L$83,11,FALSE)</f>
        <v>14</v>
      </c>
      <c r="K38" s="132"/>
      <c r="L38" s="100">
        <f>IF(ISNUMBER(E38),VLOOKUP($B38,'Represented Populations'!$A$4:$I$157,2,FALSE)/COUNT(E$37,E$38),0)</f>
        <v>27300</v>
      </c>
      <c r="M38" s="49">
        <f>IF(ISNUMBER(F38),VLOOKUP($B38,'Represented Populations'!$A$4:$I$157,2,FALSE)/COUNT(F$37,F$38),0)</f>
        <v>27300</v>
      </c>
      <c r="N38" s="49">
        <f>IF(ISNUMBER(G38),VLOOKUP($B38,'Represented Populations'!$A$4:$I$157,2,FALSE)/COUNT(G$37,G$38),0)</f>
        <v>27300</v>
      </c>
      <c r="O38" s="49">
        <f>IF(ISNUMBER(H38),VLOOKUP($B38,'Represented Populations'!$A$4:$I$157,2,FALSE)/COUNT(H$37,H$38),0)</f>
        <v>27300</v>
      </c>
      <c r="P38" s="49">
        <f>IF(ISNUMBER(I38),VLOOKUP($B38,'Represented Populations'!$A$4:$I$157,2,FALSE)/COUNT(I$37,I$38),0)</f>
        <v>27300</v>
      </c>
      <c r="Q38" s="49">
        <f>IF(ISNUMBER(J38),VLOOKUP($B38,'Represented Populations'!$A$4:$I$157,2,FALSE)/COUNT(J$37,J$38),0)</f>
        <v>27300</v>
      </c>
      <c r="R38" s="42">
        <f>IF(ISNUMBER(K38),VLOOKUP($B38,'Represented Populations'!$A$4:$I$157,2,FALSE)/COUNT(K$37,K$38),0)</f>
        <v>0</v>
      </c>
      <c r="T38" s="28"/>
      <c r="U38" s="28"/>
      <c r="V38" s="28"/>
      <c r="W38" s="28"/>
      <c r="X38" s="28"/>
      <c r="Y38" s="28"/>
      <c r="Z38" s="28"/>
      <c r="AA38" s="28"/>
      <c r="AB38" s="28"/>
    </row>
    <row r="39" spans="1:28" s="50" customFormat="1">
      <c r="A39" s="48" t="s">
        <v>58</v>
      </c>
      <c r="B39" s="73" t="s">
        <v>57</v>
      </c>
      <c r="C39" s="40" t="s">
        <v>251</v>
      </c>
      <c r="D39" s="81" t="s">
        <v>266</v>
      </c>
      <c r="E39" s="131"/>
      <c r="F39" s="132">
        <f>VLOOKUP($A39,'Annual Mean'!$A$3:$L$83,7,FALSE)</f>
        <v>15.2</v>
      </c>
      <c r="G39" s="132">
        <f>VLOOKUP($A39,'Annual Mean'!$A$3:$L$83,8,FALSE)</f>
        <v>16.5</v>
      </c>
      <c r="H39" s="132">
        <f>VLOOKUP($A39,'Annual Mean'!$A$3:$L$83,9,FALSE)</f>
        <v>15.3</v>
      </c>
      <c r="I39" s="132">
        <f>VLOOKUP($A39,'Annual Mean'!$A$3:$L$83,10,FALSE)</f>
        <v>13.9</v>
      </c>
      <c r="J39" s="132">
        <f>VLOOKUP($A39,'Annual Mean'!$A$3:$L$83,11,FALSE)</f>
        <v>15.6</v>
      </c>
      <c r="K39" s="132">
        <f>VLOOKUP($A39,'Annual Mean'!$A$3:$L$83,12,FALSE)</f>
        <v>18.5</v>
      </c>
      <c r="L39" s="100">
        <f>IF(ISNUMBER(E39),VLOOKUP($B39,'Represented Populations'!$A$4:$I$157,2,FALSE),0)</f>
        <v>0</v>
      </c>
      <c r="M39" s="49">
        <f>IF(ISNUMBER(F39),VLOOKUP($B39,'Represented Populations'!$A$4:$I$157,3,FALSE),0)</f>
        <v>29400</v>
      </c>
      <c r="N39" s="49">
        <f>IF(ISNUMBER(G39),VLOOKUP($B39,'Represented Populations'!$A$4:$I$157,4,FALSE),0)</f>
        <v>29800</v>
      </c>
      <c r="O39" s="49">
        <f>IF(ISNUMBER(H39),VLOOKUP($B39,'Represented Populations'!$A$4:$I$157,5,FALSE),0)</f>
        <v>30000</v>
      </c>
      <c r="P39" s="49">
        <f>IF(ISNUMBER(I39),VLOOKUP($B39,'Represented Populations'!$A$4:$I$157,6,FALSE),0)</f>
        <v>30200</v>
      </c>
      <c r="Q39" s="49">
        <f>IF(ISNUMBER(J39),VLOOKUP($B39,'Represented Populations'!$A$4:$I$157,7,FALSE),0)</f>
        <v>30400</v>
      </c>
      <c r="R39" s="42">
        <f>IF(ISNUMBER(K39),VLOOKUP($B39,'Represented Populations'!$A$4:$I$157,8,FALSE),0)</f>
        <v>30600</v>
      </c>
      <c r="T39" s="28"/>
      <c r="U39" s="28"/>
      <c r="V39" s="28"/>
      <c r="W39" s="28"/>
      <c r="X39" s="28"/>
      <c r="Y39" s="28"/>
      <c r="Z39" s="28"/>
      <c r="AA39" s="28"/>
      <c r="AB39" s="28"/>
    </row>
    <row r="40" spans="1:28" s="50" customFormat="1">
      <c r="A40" s="48" t="s">
        <v>132</v>
      </c>
      <c r="B40" s="72" t="s">
        <v>267</v>
      </c>
      <c r="C40" s="40" t="s">
        <v>251</v>
      </c>
      <c r="D40" s="81" t="s">
        <v>266</v>
      </c>
      <c r="E40" s="131">
        <f>VLOOKUP($A40,'Annual Mean'!$A$3:$L$83,6,FALSE)</f>
        <v>27.2</v>
      </c>
      <c r="F40" s="132"/>
      <c r="G40" s="132"/>
      <c r="H40" s="132"/>
      <c r="I40" s="132"/>
      <c r="J40" s="132"/>
      <c r="K40" s="132"/>
      <c r="L40" s="100">
        <f>IF(ISNUMBER(E40),VLOOKUP($B40,'Represented Populations'!$A$4:$I$157,2,FALSE)/COUNT(E$40,E$41),0)</f>
        <v>10395</v>
      </c>
      <c r="M40" s="49">
        <f>IF(ISNUMBER(F40),VLOOKUP($B40,'Represented Populations'!$A$4:$I$157,3,FALSE)/COUNT(F$40,F$41),0)</f>
        <v>0</v>
      </c>
      <c r="N40" s="49">
        <f>IF(ISNUMBER(G40),VLOOKUP($B40,'Represented Populations'!$A$4:$I$157,4,FALSE)/COUNT(G$40,G$41),0)</f>
        <v>0</v>
      </c>
      <c r="O40" s="49">
        <f>IF(ISNUMBER(H40),VLOOKUP($B40,'Represented Populations'!$A$4:$I$157,5,FALSE)/COUNT(H$40,H$41),0)</f>
        <v>0</v>
      </c>
      <c r="P40" s="49">
        <f>IF(ISNUMBER(I40),VLOOKUP($B40,'Represented Populations'!$A$4:$I$157,6,FALSE)/COUNT(I$40,I$41),0)</f>
        <v>0</v>
      </c>
      <c r="Q40" s="49">
        <f>IF(ISNUMBER(J40),VLOOKUP($B40,'Represented Populations'!$A$4:$I$157,7,FALSE)/COUNT(J$40,J$41),0)</f>
        <v>0</v>
      </c>
      <c r="R40" s="42">
        <f>IF(ISNUMBER(K40),VLOOKUP($B40,'Represented Populations'!$A$4:$I$157,8,FALSE)/COUNT(K$40,K$41),0)</f>
        <v>0</v>
      </c>
      <c r="T40" s="28"/>
      <c r="U40" s="28"/>
      <c r="V40" s="28"/>
      <c r="W40" s="28"/>
      <c r="X40" s="28"/>
      <c r="Y40" s="28"/>
      <c r="Z40" s="28"/>
      <c r="AA40" s="28"/>
      <c r="AB40" s="28"/>
    </row>
    <row r="41" spans="1:28" s="50" customFormat="1">
      <c r="A41" s="48" t="s">
        <v>61</v>
      </c>
      <c r="B41" s="72" t="s">
        <v>267</v>
      </c>
      <c r="C41" s="40" t="s">
        <v>251</v>
      </c>
      <c r="D41" s="81" t="s">
        <v>266</v>
      </c>
      <c r="E41" s="131">
        <f>VLOOKUP($A41,'Annual Mean'!$A$3:$L$83,6,FALSE)</f>
        <v>27.2</v>
      </c>
      <c r="F41" s="132">
        <f>VLOOKUP($A41,'Annual Mean'!$A$3:$L$83,7,FALSE)</f>
        <v>23</v>
      </c>
      <c r="G41" s="132">
        <f>VLOOKUP($A41,'Annual Mean'!$A$3:$L$83,8,FALSE)</f>
        <v>22.1</v>
      </c>
      <c r="H41" s="132">
        <f>VLOOKUP($A41,'Annual Mean'!$A$3:$L$83,9,FALSE)</f>
        <v>21.7</v>
      </c>
      <c r="I41" s="132">
        <f>VLOOKUP($A41,'Annual Mean'!$A$3:$L$83,10,FALSE)</f>
        <v>18.600000000000001</v>
      </c>
      <c r="J41" s="132">
        <f>VLOOKUP($A41,'Annual Mean'!$A$3:$L$83,11,FALSE)</f>
        <v>17.5</v>
      </c>
      <c r="K41" s="132">
        <f>VLOOKUP($A41,'Annual Mean'!$A$3:$L$83,12,FALSE)</f>
        <v>20.2</v>
      </c>
      <c r="L41" s="100">
        <f>IF(ISNUMBER(E41),VLOOKUP($B41,'Represented Populations'!$A$4:$I$157,2,FALSE)/COUNT(E$40,E$41),0)</f>
        <v>10395</v>
      </c>
      <c r="M41" s="49">
        <f>IF(ISNUMBER(F41),VLOOKUP($B41,'Represented Populations'!$A$4:$I$157,3,FALSE)/COUNT(F$40,F$41),0)</f>
        <v>21100</v>
      </c>
      <c r="N41" s="49">
        <f>IF(ISNUMBER(G41),VLOOKUP($B41,'Represented Populations'!$A$4:$I$157,4,FALSE)/COUNT(G$40,G$41),0)</f>
        <v>21340</v>
      </c>
      <c r="O41" s="49">
        <f>IF(ISNUMBER(H41),VLOOKUP($B41,'Represented Populations'!$A$4:$I$157,5,FALSE)/COUNT(H$40,H$41),0)</f>
        <v>21620</v>
      </c>
      <c r="P41" s="49">
        <f>IF(ISNUMBER(I41),VLOOKUP($B41,'Represented Populations'!$A$4:$I$157,6,FALSE)/COUNT(I$40,I$41),0)</f>
        <v>21770</v>
      </c>
      <c r="Q41" s="49">
        <f>IF(ISNUMBER(J41),VLOOKUP($B41,'Represented Populations'!$A$4:$I$157,7,FALSE)/COUNT(J$40,J$41),0)</f>
        <v>22200</v>
      </c>
      <c r="R41" s="42">
        <f>IF(ISNUMBER(K41),VLOOKUP($B41,'Represented Populations'!$A$4:$I$157,8,FALSE)/COUNT(K$40,K$41),0)</f>
        <v>22450</v>
      </c>
      <c r="T41" s="28"/>
      <c r="U41" s="28"/>
      <c r="V41" s="28"/>
      <c r="W41" s="28"/>
      <c r="X41" s="28"/>
      <c r="Y41" s="28"/>
      <c r="Z41" s="28"/>
      <c r="AA41" s="28"/>
      <c r="AB41" s="28"/>
    </row>
    <row r="42" spans="1:28" s="50" customFormat="1">
      <c r="A42" s="48" t="s">
        <v>63</v>
      </c>
      <c r="B42" s="105" t="s">
        <v>64</v>
      </c>
      <c r="C42" s="40" t="s">
        <v>251</v>
      </c>
      <c r="D42" s="81" t="s">
        <v>266</v>
      </c>
      <c r="E42" s="131">
        <f>VLOOKUP($A42,'Annual Mean'!$A$3:$L$83,6,FALSE)</f>
        <v>24.8</v>
      </c>
      <c r="F42" s="132">
        <f>VLOOKUP($A42,'Annual Mean'!$A$3:$L$83,7,FALSE)</f>
        <v>21.8</v>
      </c>
      <c r="G42" s="132">
        <f>VLOOKUP($A42,'Annual Mean'!$A$3:$L$83,8,FALSE)</f>
        <v>21.3</v>
      </c>
      <c r="H42" s="132">
        <f>VLOOKUP($A42,'Annual Mean'!$A$3:$L$83,9,FALSE)</f>
        <v>22.3</v>
      </c>
      <c r="I42" s="132">
        <f>VLOOKUP($A42,'Annual Mean'!$A$3:$L$83,10,FALSE)</f>
        <v>18.3</v>
      </c>
      <c r="J42" s="132">
        <f>VLOOKUP($A42,'Annual Mean'!$A$3:$L$83,11,FALSE)</f>
        <v>18</v>
      </c>
      <c r="K42" s="132">
        <f>VLOOKUP($A42,'Annual Mean'!$A$3:$L$83,12,FALSE)</f>
        <v>18.8</v>
      </c>
      <c r="L42" s="100">
        <f>IF(ISNUMBER(E42),VLOOKUP($B42,'Represented Populations'!$A$4:$I$157,2,FALSE),0)</f>
        <v>12200</v>
      </c>
      <c r="M42" s="49">
        <f>IF(ISNUMBER(F42),VLOOKUP($B42,'Represented Populations'!$A$4:$I$157,3,FALSE),0)</f>
        <v>12100</v>
      </c>
      <c r="N42" s="49">
        <f>IF(ISNUMBER(G42),VLOOKUP($B42,'Represented Populations'!$A$4:$I$157,4,FALSE),0)</f>
        <v>12100</v>
      </c>
      <c r="O42" s="49">
        <f>IF(ISNUMBER(H42),VLOOKUP($B42,'Represented Populations'!$A$4:$I$157,5,FALSE),0)</f>
        <v>12150</v>
      </c>
      <c r="P42" s="49">
        <f>IF(ISNUMBER(I42),VLOOKUP($B42,'Represented Populations'!$A$4:$I$157,6,FALSE),0)</f>
        <v>12250</v>
      </c>
      <c r="Q42" s="49">
        <f>IF(ISNUMBER(J42),VLOOKUP($B42,'Represented Populations'!$A$4:$I$157,7,FALSE),0)</f>
        <v>12400</v>
      </c>
      <c r="R42" s="42">
        <f>IF(ISNUMBER(K42),VLOOKUP($B42,'Represented Populations'!$A$4:$I$157,8,FALSE),0)</f>
        <v>12450</v>
      </c>
      <c r="T42" s="28"/>
      <c r="U42" s="28"/>
      <c r="V42" s="28"/>
      <c r="W42" s="28"/>
      <c r="X42" s="28"/>
      <c r="Y42" s="28"/>
      <c r="Z42" s="28"/>
      <c r="AA42" s="28"/>
      <c r="AB42" s="28"/>
    </row>
    <row r="43" spans="1:28" s="50" customFormat="1">
      <c r="A43" s="48" t="s">
        <v>68</v>
      </c>
      <c r="B43" s="73" t="s">
        <v>67</v>
      </c>
      <c r="C43" s="40" t="s">
        <v>251</v>
      </c>
      <c r="D43" s="81" t="s">
        <v>265</v>
      </c>
      <c r="E43" s="131"/>
      <c r="F43" s="132"/>
      <c r="G43" s="132">
        <f>VLOOKUP($A43,'Annual Mean'!$A$3:$L$83,8,FALSE)</f>
        <v>14</v>
      </c>
      <c r="H43" s="132">
        <f>VLOOKUP($A43,'Annual Mean'!$A$3:$L$83,9,FALSE)</f>
        <v>13.6</v>
      </c>
      <c r="I43" s="132">
        <f>VLOOKUP($A43,'Annual Mean'!$A$3:$L$83,10,FALSE)</f>
        <v>13.5</v>
      </c>
      <c r="J43" s="132">
        <f>VLOOKUP($A43,'Annual Mean'!$A$3:$L$83,11,FALSE)</f>
        <v>14.7</v>
      </c>
      <c r="K43" s="132">
        <f>VLOOKUP($A43,'Annual Mean'!$A$3:$L$83,12,FALSE)</f>
        <v>15</v>
      </c>
      <c r="L43" s="100">
        <f>IF(ISNUMBER(E43),VLOOKUP($B43,'Represented Populations'!$A$4:$I$157,2,FALSE),0)</f>
        <v>0</v>
      </c>
      <c r="M43" s="49">
        <f>IF(ISNUMBER(F43),VLOOKUP($B43,'Represented Populations'!$A$4:$I$157,3,FALSE),0)</f>
        <v>0</v>
      </c>
      <c r="N43" s="49">
        <f>IF(ISNUMBER(G43),VLOOKUP($B43,'Represented Populations'!$A$4:$I$157,4,FALSE),0)</f>
        <v>51100</v>
      </c>
      <c r="O43" s="49">
        <f>IF(ISNUMBER(H43),VLOOKUP($B43,'Represented Populations'!$A$4:$I$157,5,FALSE),0)</f>
        <v>51300</v>
      </c>
      <c r="P43" s="49">
        <f>IF(ISNUMBER(I43),VLOOKUP($B43,'Represented Populations'!$A$4:$I$157,6,FALSE),0)</f>
        <v>51900</v>
      </c>
      <c r="Q43" s="49">
        <f>IF(ISNUMBER(J43),VLOOKUP($B43,'Represented Populations'!$A$4:$I$157,7,FALSE),0)</f>
        <v>52200</v>
      </c>
      <c r="R43" s="42">
        <f>IF(ISNUMBER(K43),VLOOKUP($B43,'Represented Populations'!$A$4:$I$157,8,FALSE),0)</f>
        <v>52500</v>
      </c>
      <c r="T43" s="28"/>
      <c r="U43" s="28"/>
      <c r="V43" s="28"/>
      <c r="W43" s="28"/>
      <c r="X43" s="28"/>
      <c r="Y43" s="28"/>
      <c r="Z43" s="28"/>
      <c r="AA43" s="28"/>
      <c r="AB43" s="28"/>
    </row>
    <row r="44" spans="1:28" s="50" customFormat="1">
      <c r="A44" s="48" t="s">
        <v>25</v>
      </c>
      <c r="B44" s="73" t="s">
        <v>24</v>
      </c>
      <c r="C44" s="40" t="s">
        <v>250</v>
      </c>
      <c r="D44" s="81" t="s">
        <v>266</v>
      </c>
      <c r="E44" s="131"/>
      <c r="F44" s="132"/>
      <c r="G44" s="132"/>
      <c r="H44" s="132">
        <f>VLOOKUP($A44,'Annual Mean'!$A$3:$L$83,9,FALSE)</f>
        <v>21.7</v>
      </c>
      <c r="I44" s="132">
        <f>VLOOKUP($A44,'Annual Mean'!$A$3:$L$83,10,FALSE)</f>
        <v>24.1</v>
      </c>
      <c r="J44" s="132">
        <f>VLOOKUP($A44,'Annual Mean'!$A$3:$L$83,11,FALSE)</f>
        <v>21.8</v>
      </c>
      <c r="K44" s="132">
        <f>VLOOKUP($A44,'Annual Mean'!$A$3:$L$83,12,FALSE)</f>
        <v>23.6</v>
      </c>
      <c r="L44" s="100">
        <f>IF(ISNUMBER(E44),VLOOKUP($B44,'Represented Populations'!$A$4:$I$157,2,FALSE),0)</f>
        <v>0</v>
      </c>
      <c r="M44" s="49">
        <f>IF(ISNUMBER(F44),VLOOKUP($B44,'Represented Populations'!$A$4:$I$157,3,FALSE),0)</f>
        <v>0</v>
      </c>
      <c r="N44" s="49">
        <f>IF(ISNUMBER(G44),VLOOKUP($B44,'Represented Populations'!$A$4:$I$157,4,FALSE),0)</f>
        <v>0</v>
      </c>
      <c r="O44" s="49">
        <f>IF(ISNUMBER(H44),VLOOKUP($B44,'Represented Populations'!$A$4:$I$157,5,FALSE),0)</f>
        <v>43200</v>
      </c>
      <c r="P44" s="49">
        <f>IF(ISNUMBER(I44),VLOOKUP($B44,'Represented Populations'!$A$4:$I$157,6,FALSE),0)</f>
        <v>43500</v>
      </c>
      <c r="Q44" s="49">
        <f>IF(ISNUMBER(J44),VLOOKUP($B44,'Represented Populations'!$A$4:$I$157,7,FALSE),0)</f>
        <v>43900</v>
      </c>
      <c r="R44" s="42">
        <f>IF(ISNUMBER(K44),VLOOKUP($B44,'Represented Populations'!$A$4:$I$157,8,FALSE),0)</f>
        <v>43600</v>
      </c>
      <c r="T44" s="28"/>
      <c r="U44" s="28"/>
      <c r="V44" s="28"/>
      <c r="W44" s="28"/>
      <c r="X44" s="28"/>
      <c r="Y44" s="28"/>
      <c r="Z44" s="28"/>
      <c r="AA44" s="28"/>
      <c r="AB44" s="28"/>
    </row>
    <row r="45" spans="1:28" s="50" customFormat="1">
      <c r="A45" s="48" t="s">
        <v>8</v>
      </c>
      <c r="B45" s="73" t="s">
        <v>8</v>
      </c>
      <c r="C45" s="40" t="s">
        <v>251</v>
      </c>
      <c r="D45" s="81" t="s">
        <v>265</v>
      </c>
      <c r="E45" s="131"/>
      <c r="F45" s="132"/>
      <c r="G45" s="132"/>
      <c r="H45" s="132"/>
      <c r="I45" s="132">
        <f>VLOOKUP($A45,'Annual Mean'!$A$3:$L$83,10,FALSE)</f>
        <v>13.3</v>
      </c>
      <c r="J45" s="132"/>
      <c r="K45" s="132"/>
      <c r="L45" s="100">
        <f>IF(ISNUMBER(E45),VLOOKUP($B45,'Represented Populations'!$A$4:$I$157,2,FALSE),0)</f>
        <v>0</v>
      </c>
      <c r="M45" s="49">
        <f>IF(ISNUMBER(F45),VLOOKUP($B45,'Represented Populations'!$A$4:$I$157,3,FALSE),0)</f>
        <v>0</v>
      </c>
      <c r="N45" s="49">
        <f>IF(ISNUMBER(G45),VLOOKUP($B45,'Represented Populations'!$A$4:$I$157,4,FALSE),0)</f>
        <v>0</v>
      </c>
      <c r="O45" s="49">
        <f>IF(ISNUMBER(H45),VLOOKUP($B45,'Represented Populations'!$A$4:$I$157,5,FALSE),0)</f>
        <v>0</v>
      </c>
      <c r="P45" s="49">
        <f>IF(ISNUMBER(I45),VLOOKUP($B45,'Represented Populations'!$A$4:$I$157,6,FALSE),0)</f>
        <v>2770</v>
      </c>
      <c r="Q45" s="49">
        <f>IF(ISNUMBER(J45),VLOOKUP($B45,'Represented Populations'!$A$4:$I$157,7,FALSE),0)</f>
        <v>0</v>
      </c>
      <c r="R45" s="42">
        <f>IF(ISNUMBER(K45),VLOOKUP($B45,'Represented Populations'!$A$4:$I$157,8,FALSE),0)</f>
        <v>0</v>
      </c>
      <c r="T45" s="28"/>
      <c r="U45" s="28"/>
      <c r="V45" s="28"/>
      <c r="W45" s="28"/>
      <c r="X45" s="28"/>
      <c r="Y45" s="28"/>
      <c r="Z45" s="28"/>
      <c r="AA45" s="28"/>
      <c r="AB45" s="28"/>
    </row>
    <row r="46" spans="1:28" s="50" customFormat="1">
      <c r="A46" s="48" t="s">
        <v>88</v>
      </c>
      <c r="B46" s="43" t="s">
        <v>88</v>
      </c>
      <c r="C46" s="40" t="s">
        <v>251</v>
      </c>
      <c r="D46" s="81" t="s">
        <v>265</v>
      </c>
      <c r="E46" s="131"/>
      <c r="F46" s="132">
        <f>VLOOKUP($A46,'Annual Mean'!$A$3:$L$83,7,FALSE)</f>
        <v>14.3</v>
      </c>
      <c r="G46" s="132">
        <f>VLOOKUP($A46,'Annual Mean'!$A$3:$L$83,8,FALSE)</f>
        <v>16</v>
      </c>
      <c r="H46" s="132"/>
      <c r="I46" s="132"/>
      <c r="J46" s="132"/>
      <c r="K46" s="132"/>
      <c r="L46" s="100">
        <f>IF(ISNUMBER(E46),VLOOKUP($B46,'Represented Populations'!$A$4:$I$157,2,FALSE),0)</f>
        <v>0</v>
      </c>
      <c r="M46" s="49">
        <f>IF(ISNUMBER(F46),VLOOKUP($B46,'Represented Populations'!$A$4:$I$157,3,FALSE),0)</f>
        <v>20200</v>
      </c>
      <c r="N46" s="49">
        <f>IF(ISNUMBER(G46),VLOOKUP($B46,'Represented Populations'!$A$4:$I$157,4,FALSE),0)</f>
        <v>20600</v>
      </c>
      <c r="O46" s="49">
        <f>IF(ISNUMBER(H46),VLOOKUP($B46,'Represented Populations'!$A$4:$I$157,5,FALSE),0)</f>
        <v>0</v>
      </c>
      <c r="P46" s="49">
        <f>IF(ISNUMBER(I46),VLOOKUP($B46,'Represented Populations'!$A$4:$I$157,6,FALSE),0)</f>
        <v>0</v>
      </c>
      <c r="Q46" s="49">
        <f>IF(ISNUMBER(J46),VLOOKUP($B46,'Represented Populations'!$A$4:$I$157,7,FALSE),0)</f>
        <v>0</v>
      </c>
      <c r="R46" s="42">
        <f>IF(ISNUMBER(K46),VLOOKUP($B46,'Represented Populations'!$A$4:$I$157,8,FALSE),0)</f>
        <v>0</v>
      </c>
      <c r="T46" s="28"/>
      <c r="U46" s="28"/>
      <c r="V46" s="28"/>
      <c r="W46" s="28"/>
      <c r="X46" s="28"/>
      <c r="Y46" s="28"/>
      <c r="Z46" s="28"/>
      <c r="AA46" s="28"/>
      <c r="AB46" s="28"/>
    </row>
    <row r="47" spans="1:28" s="50" customFormat="1">
      <c r="A47" s="48" t="s">
        <v>14</v>
      </c>
      <c r="B47" s="73" t="s">
        <v>13</v>
      </c>
      <c r="C47" s="40" t="s">
        <v>251</v>
      </c>
      <c r="D47" s="81" t="s">
        <v>265</v>
      </c>
      <c r="E47" s="131"/>
      <c r="F47" s="132"/>
      <c r="G47" s="132"/>
      <c r="H47" s="132">
        <f>VLOOKUP($A47,'Annual Mean'!$A$3:$L$83,9,FALSE)</f>
        <v>12.5</v>
      </c>
      <c r="I47" s="132">
        <f>VLOOKUP($A47,'Annual Mean'!$A$3:$L$83,10,FALSE)</f>
        <v>12.1</v>
      </c>
      <c r="J47" s="132"/>
      <c r="K47" s="132"/>
      <c r="L47" s="100">
        <f>IF(ISNUMBER(E47),VLOOKUP($B47,'Represented Populations'!$A$4:$I$157,2,FALSE),0)</f>
        <v>0</v>
      </c>
      <c r="M47" s="49">
        <f>IF(ISNUMBER(F47),VLOOKUP($B47,'Represented Populations'!$A$4:$I$157,3,FALSE),0)</f>
        <v>0</v>
      </c>
      <c r="N47" s="49">
        <f>IF(ISNUMBER(G47),VLOOKUP($B47,'Represented Populations'!$A$4:$I$157,4,FALSE),0)</f>
        <v>0</v>
      </c>
      <c r="O47" s="49">
        <f>IF(ISNUMBER(H47),VLOOKUP($B47,'Represented Populations'!$A$4:$I$157,5,FALSE),0)</f>
        <v>8350</v>
      </c>
      <c r="P47" s="49">
        <f>IF(ISNUMBER(I47),VLOOKUP($B47,'Represented Populations'!$A$4:$I$157,6,FALSE),0)</f>
        <v>8470</v>
      </c>
      <c r="Q47" s="49">
        <f>IF(ISNUMBER(J47),VLOOKUP($B47,'Represented Populations'!$A$4:$I$157,7,FALSE),0)</f>
        <v>0</v>
      </c>
      <c r="R47" s="42">
        <f>IF(ISNUMBER(K47),VLOOKUP($B47,'Represented Populations'!$A$4:$I$157,8,FALSE),0)</f>
        <v>0</v>
      </c>
      <c r="T47" s="28"/>
      <c r="U47" s="28"/>
      <c r="V47" s="28"/>
      <c r="W47" s="28"/>
      <c r="X47" s="28"/>
      <c r="Y47" s="28"/>
      <c r="Z47" s="28"/>
      <c r="AA47" s="28"/>
      <c r="AB47" s="28"/>
    </row>
    <row r="48" spans="1:28" s="50" customFormat="1">
      <c r="A48" s="48" t="s">
        <v>91</v>
      </c>
      <c r="B48" s="43" t="s">
        <v>91</v>
      </c>
      <c r="C48" s="40" t="s">
        <v>251</v>
      </c>
      <c r="D48" s="81" t="s">
        <v>265</v>
      </c>
      <c r="E48" s="131"/>
      <c r="F48" s="132"/>
      <c r="G48" s="132"/>
      <c r="H48" s="132">
        <f>VLOOKUP($A48,'Annual Mean'!$A$3:$L$83,9,FALSE)</f>
        <v>15.1</v>
      </c>
      <c r="I48" s="132"/>
      <c r="J48" s="132"/>
      <c r="K48" s="132"/>
      <c r="L48" s="100">
        <f>IF(ISNUMBER(E48),VLOOKUP($B48,'Represented Populations'!$A$4:$I$157,2,FALSE),0)</f>
        <v>0</v>
      </c>
      <c r="M48" s="49">
        <f>IF(ISNUMBER(F48),VLOOKUP($B48,'Represented Populations'!$A$4:$I$157,3,FALSE),0)</f>
        <v>0</v>
      </c>
      <c r="N48" s="49">
        <f>IF(ISNUMBER(G48),VLOOKUP($B48,'Represented Populations'!$A$4:$I$157,4,FALSE),0)</f>
        <v>0</v>
      </c>
      <c r="O48" s="49">
        <f>IF(ISNUMBER(H48),VLOOKUP($B48,'Represented Populations'!$A$4:$I$157,5,FALSE),0)</f>
        <v>6620</v>
      </c>
      <c r="P48" s="49">
        <f>IF(ISNUMBER(I48),VLOOKUP($B48,'Represented Populations'!$A$4:$I$157,6,FALSE),0)</f>
        <v>0</v>
      </c>
      <c r="Q48" s="49">
        <f>IF(ISNUMBER(J48),VLOOKUP($B48,'Represented Populations'!$A$4:$I$157,7,FALSE),0)</f>
        <v>0</v>
      </c>
      <c r="R48" s="42">
        <f>IF(ISNUMBER(K48),VLOOKUP($B48,'Represented Populations'!$A$4:$I$157,8,FALSE),0)</f>
        <v>0</v>
      </c>
      <c r="T48" s="28"/>
      <c r="U48" s="28"/>
      <c r="V48" s="28"/>
      <c r="W48" s="28"/>
      <c r="X48" s="28"/>
      <c r="Y48" s="28"/>
      <c r="Z48" s="28"/>
      <c r="AA48" s="28"/>
      <c r="AB48" s="28"/>
    </row>
    <row r="49" spans="1:28" s="50" customFormat="1">
      <c r="A49" s="48" t="s">
        <v>92</v>
      </c>
      <c r="B49" s="43" t="s">
        <v>92</v>
      </c>
      <c r="C49" s="40" t="s">
        <v>251</v>
      </c>
      <c r="D49" s="81" t="s">
        <v>265</v>
      </c>
      <c r="E49" s="131"/>
      <c r="F49" s="132"/>
      <c r="G49" s="132">
        <f>VLOOKUP($A49,'Annual Mean'!$A$3:$L$83,8,FALSE)</f>
        <v>16.399999999999999</v>
      </c>
      <c r="H49" s="132"/>
      <c r="I49" s="132"/>
      <c r="J49" s="132"/>
      <c r="K49" s="132"/>
      <c r="L49" s="100">
        <f>IF(ISNUMBER(E49),VLOOKUP($B49,'Represented Populations'!$A$4:$I$157,2,FALSE),0)</f>
        <v>0</v>
      </c>
      <c r="M49" s="49">
        <f>IF(ISNUMBER(F49),VLOOKUP($B49,'Represented Populations'!$A$4:$I$157,3,FALSE),0)</f>
        <v>0</v>
      </c>
      <c r="N49" s="49">
        <f>IF(ISNUMBER(G49),VLOOKUP($B49,'Represented Populations'!$A$4:$I$157,4,FALSE),0)</f>
        <v>3520</v>
      </c>
      <c r="O49" s="49">
        <f>IF(ISNUMBER(H49),VLOOKUP($B49,'Represented Populations'!$A$4:$I$157,5,FALSE),0)</f>
        <v>0</v>
      </c>
      <c r="P49" s="49">
        <f>IF(ISNUMBER(I49),VLOOKUP($B49,'Represented Populations'!$A$4:$I$157,6,FALSE),0)</f>
        <v>0</v>
      </c>
      <c r="Q49" s="49">
        <f>IF(ISNUMBER(J49),VLOOKUP($B49,'Represented Populations'!$A$4:$I$157,7,FALSE),0)</f>
        <v>0</v>
      </c>
      <c r="R49" s="42">
        <f>IF(ISNUMBER(K49),VLOOKUP($B49,'Represented Populations'!$A$4:$I$157,8,FALSE),0)</f>
        <v>0</v>
      </c>
      <c r="T49" s="28"/>
      <c r="U49" s="28"/>
      <c r="V49" s="28"/>
      <c r="W49" s="28"/>
      <c r="X49" s="28"/>
      <c r="Y49" s="28"/>
      <c r="Z49" s="28"/>
      <c r="AA49" s="28"/>
      <c r="AB49" s="28"/>
    </row>
    <row r="50" spans="1:28" s="50" customFormat="1">
      <c r="A50" s="80" t="s">
        <v>96</v>
      </c>
      <c r="B50" s="21" t="s">
        <v>95</v>
      </c>
      <c r="C50" s="40" t="s">
        <v>251</v>
      </c>
      <c r="D50" s="81" t="s">
        <v>265</v>
      </c>
      <c r="E50" s="131"/>
      <c r="F50" s="132">
        <f>VLOOKUP($A50,'Annual Mean'!$A$3:$L$83,7,FALSE)</f>
        <v>14.9</v>
      </c>
      <c r="G50" s="132">
        <f>VLOOKUP($A50,'Annual Mean'!$A$3:$L$83,8,FALSE)</f>
        <v>16.600000000000001</v>
      </c>
      <c r="H50" s="132">
        <f>VLOOKUP($A50,'Annual Mean'!$A$3:$L$83,9,FALSE)</f>
        <v>12.2</v>
      </c>
      <c r="I50" s="132">
        <f>VLOOKUP($A50,'Annual Mean'!$A$3:$L$83,10,FALSE)</f>
        <v>9.5</v>
      </c>
      <c r="J50" s="132">
        <f>VLOOKUP($A50,'Annual Mean'!$A$3:$L$83,11,FALSE)</f>
        <v>12.6</v>
      </c>
      <c r="K50" s="132"/>
      <c r="L50" s="100">
        <f>IF(ISNUMBER(E50),VLOOKUP($B50,'Represented Populations'!$A$4:$I$157,2,FALSE),0)</f>
        <v>0</v>
      </c>
      <c r="M50" s="49">
        <f>IF(ISNUMBER(F50),VLOOKUP($B50,'Represented Populations'!$A$4:$I$157,3,FALSE),0)</f>
        <v>9620</v>
      </c>
      <c r="N50" s="49">
        <f>IF(ISNUMBER(G50),VLOOKUP($B50,'Represented Populations'!$A$4:$I$157,4,FALSE),0)</f>
        <v>9660</v>
      </c>
      <c r="O50" s="49">
        <f>IF(ISNUMBER(H50),VLOOKUP($B50,'Represented Populations'!$A$4:$I$157,5,FALSE),0)</f>
        <v>9620</v>
      </c>
      <c r="P50" s="49">
        <f>IF(ISNUMBER(I50),VLOOKUP($B50,'Represented Populations'!$A$4:$I$157,6,FALSE),0)</f>
        <v>9600</v>
      </c>
      <c r="Q50" s="49">
        <f>IF(ISNUMBER(J50),VLOOKUP($B50,'Represented Populations'!$A$4:$I$157,7,FALSE),0)</f>
        <v>9590</v>
      </c>
      <c r="R50" s="42">
        <f>IF(ISNUMBER(K50),VLOOKUP($B50,'Represented Populations'!$A$4:$I$157,8,FALSE),0)</f>
        <v>0</v>
      </c>
      <c r="T50" s="28"/>
      <c r="U50" s="28"/>
      <c r="V50" s="28"/>
      <c r="W50" s="28"/>
      <c r="X50" s="28"/>
      <c r="Y50" s="28"/>
      <c r="Z50" s="28"/>
      <c r="AA50" s="28"/>
      <c r="AB50" s="28"/>
    </row>
    <row r="51" spans="1:28" s="50" customFormat="1">
      <c r="A51" s="48" t="s">
        <v>18</v>
      </c>
      <c r="B51" s="73" t="s">
        <v>18</v>
      </c>
      <c r="C51" s="40" t="s">
        <v>251</v>
      </c>
      <c r="D51" s="81" t="s">
        <v>266</v>
      </c>
      <c r="E51" s="131">
        <f>VLOOKUP($A51,'Annual Mean'!$A$3:$L$83,6,FALSE)</f>
        <v>25.7</v>
      </c>
      <c r="F51" s="132">
        <f>VLOOKUP($A51,'Annual Mean'!$A$3:$L$83,7,FALSE)</f>
        <v>21.2</v>
      </c>
      <c r="G51" s="132">
        <f>VLOOKUP($A51,'Annual Mean'!$A$3:$L$83,8,FALSE)</f>
        <v>24.1</v>
      </c>
      <c r="H51" s="132">
        <f>VLOOKUP($A51,'Annual Mean'!$A$3:$L$83,9,FALSE)</f>
        <v>23.3</v>
      </c>
      <c r="I51" s="132">
        <f>VLOOKUP($A51,'Annual Mean'!$A$3:$L$83,10,FALSE)</f>
        <v>21.6</v>
      </c>
      <c r="J51" s="132">
        <f>VLOOKUP($A51,'Annual Mean'!$A$3:$L$83,11,FALSE)</f>
        <v>23.2</v>
      </c>
      <c r="K51" s="132">
        <f>VLOOKUP($A51,'Annual Mean'!$A$3:$L$83,12,FALSE)</f>
        <v>21.2</v>
      </c>
      <c r="L51" s="100">
        <f>IF(ISNUMBER(E51),VLOOKUP($B51,'Represented Populations'!$A$4:$I$157,2,FALSE),0)</f>
        <v>15100</v>
      </c>
      <c r="M51" s="49">
        <f>IF(ISNUMBER(F51),VLOOKUP($B51,'Represented Populations'!$A$4:$I$157,3,FALSE),0)</f>
        <v>15250</v>
      </c>
      <c r="N51" s="49">
        <f>IF(ISNUMBER(G51),VLOOKUP($B51,'Represented Populations'!$A$4:$I$157,4,FALSE),0)</f>
        <v>15350</v>
      </c>
      <c r="O51" s="49">
        <f>IF(ISNUMBER(H51),VLOOKUP($B51,'Represented Populations'!$A$4:$I$157,5,FALSE),0)</f>
        <v>15400</v>
      </c>
      <c r="P51" s="49">
        <f>IF(ISNUMBER(I51),VLOOKUP($B51,'Represented Populations'!$A$4:$I$157,6,FALSE),0)</f>
        <v>15450</v>
      </c>
      <c r="Q51" s="49">
        <f>IF(ISNUMBER(J51),VLOOKUP($B51,'Represented Populations'!$A$4:$I$157,7,FALSE),0)</f>
        <v>15700</v>
      </c>
      <c r="R51" s="42">
        <f>IF(ISNUMBER(K51),VLOOKUP($B51,'Represented Populations'!$A$4:$I$157,8,FALSE),0)</f>
        <v>15950</v>
      </c>
      <c r="T51" s="28"/>
      <c r="U51" s="28"/>
      <c r="V51" s="28"/>
      <c r="W51" s="28"/>
      <c r="X51" s="28"/>
      <c r="Y51" s="28"/>
      <c r="Z51" s="28"/>
      <c r="AA51" s="28"/>
      <c r="AB51" s="28"/>
    </row>
    <row r="52" spans="1:28" s="50" customFormat="1">
      <c r="A52" s="48" t="s">
        <v>19</v>
      </c>
      <c r="B52" s="73" t="s">
        <v>19</v>
      </c>
      <c r="C52" s="40" t="s">
        <v>251</v>
      </c>
      <c r="D52" s="81" t="s">
        <v>266</v>
      </c>
      <c r="E52" s="131"/>
      <c r="F52" s="132">
        <f>VLOOKUP($A52,'Annual Mean'!$A$3:$L$83,7,FALSE)</f>
        <v>18.3</v>
      </c>
      <c r="G52" s="132">
        <f>VLOOKUP($A52,'Annual Mean'!$A$3:$L$83,8,FALSE)</f>
        <v>21.3</v>
      </c>
      <c r="H52" s="132">
        <f>VLOOKUP($A52,'Annual Mean'!$A$3:$L$83,9,FALSE)</f>
        <v>22.1</v>
      </c>
      <c r="I52" s="132">
        <f>VLOOKUP($A52,'Annual Mean'!$A$3:$L$83,10,FALSE)</f>
        <v>19.2</v>
      </c>
      <c r="J52" s="132">
        <f>VLOOKUP($A52,'Annual Mean'!$A$3:$L$83,11,FALSE)</f>
        <v>19.100000000000001</v>
      </c>
      <c r="K52" s="132">
        <f>VLOOKUP($A52,'Annual Mean'!$A$3:$L$83,12,FALSE)</f>
        <v>20</v>
      </c>
      <c r="L52" s="100">
        <f>IF(ISNUMBER(E52),VLOOKUP($B52,'Represented Populations'!$A$4:$I$157,2,FALSE),0)</f>
        <v>0</v>
      </c>
      <c r="M52" s="49">
        <f>IF(ISNUMBER(F52),VLOOKUP($B52,'Represented Populations'!$A$4:$I$157,3,FALSE),0)</f>
        <v>2290</v>
      </c>
      <c r="N52" s="49">
        <f>IF(ISNUMBER(G52),VLOOKUP($B52,'Represented Populations'!$A$4:$I$157,4,FALSE),0)</f>
        <v>2290</v>
      </c>
      <c r="O52" s="49">
        <f>IF(ISNUMBER(H52),VLOOKUP($B52,'Represented Populations'!$A$4:$I$157,5,FALSE),0)</f>
        <v>2300</v>
      </c>
      <c r="P52" s="49">
        <f>IF(ISNUMBER(I52),VLOOKUP($B52,'Represented Populations'!$A$4:$I$157,6,FALSE),0)</f>
        <v>2310</v>
      </c>
      <c r="Q52" s="49">
        <f>IF(ISNUMBER(J52),VLOOKUP($B52,'Represented Populations'!$A$4:$I$157,7,FALSE),0)</f>
        <v>2350</v>
      </c>
      <c r="R52" s="42">
        <f>IF(ISNUMBER(K52),VLOOKUP($B52,'Represented Populations'!$A$4:$I$157,8,FALSE),0)</f>
        <v>2340</v>
      </c>
      <c r="T52" s="28"/>
      <c r="U52" s="28"/>
      <c r="V52" s="28"/>
      <c r="W52" s="28"/>
      <c r="X52" s="28"/>
      <c r="Y52" s="28"/>
      <c r="Z52" s="28"/>
      <c r="AA52" s="28"/>
      <c r="AB52" s="28"/>
    </row>
    <row r="53" spans="1:28" s="50" customFormat="1">
      <c r="A53" s="48" t="s">
        <v>20</v>
      </c>
      <c r="B53" s="73" t="s">
        <v>20</v>
      </c>
      <c r="C53" s="40" t="s">
        <v>251</v>
      </c>
      <c r="D53" s="81" t="s">
        <v>266</v>
      </c>
      <c r="E53" s="131">
        <f>VLOOKUP($A53,'Annual Mean'!$A$3:$L$83,6,FALSE)</f>
        <v>24.5</v>
      </c>
      <c r="F53" s="132">
        <f>VLOOKUP($A53,'Annual Mean'!$A$3:$L$83,7,FALSE)</f>
        <v>20.9</v>
      </c>
      <c r="G53" s="132">
        <f>VLOOKUP($A53,'Annual Mean'!$A$3:$L$83,8,FALSE)</f>
        <v>22.7</v>
      </c>
      <c r="H53" s="132">
        <f>VLOOKUP($A53,'Annual Mean'!$A$3:$L$83,9,FALSE)</f>
        <v>22.2</v>
      </c>
      <c r="I53" s="132">
        <f>VLOOKUP($A53,'Annual Mean'!$A$3:$L$83,10,FALSE)</f>
        <v>22.5</v>
      </c>
      <c r="J53" s="132">
        <f>VLOOKUP($A53,'Annual Mean'!$A$3:$L$83,11,FALSE)</f>
        <v>21.8</v>
      </c>
      <c r="K53" s="132">
        <f>VLOOKUP($A53,'Annual Mean'!$A$3:$L$83,12,FALSE)</f>
        <v>18.399999999999999</v>
      </c>
      <c r="L53" s="100">
        <f>IF(ISNUMBER(E53),VLOOKUP($B53,'Represented Populations'!$A$4:$I$157,2,FALSE),0)</f>
        <v>7600</v>
      </c>
      <c r="M53" s="49">
        <f>IF(ISNUMBER(F53),VLOOKUP($B53,'Represented Populations'!$A$4:$I$157,3,FALSE),0)</f>
        <v>7720</v>
      </c>
      <c r="N53" s="49">
        <f>IF(ISNUMBER(G53),VLOOKUP($B53,'Represented Populations'!$A$4:$I$157,4,FALSE),0)</f>
        <v>7760</v>
      </c>
      <c r="O53" s="49">
        <f>IF(ISNUMBER(H53),VLOOKUP($B53,'Represented Populations'!$A$4:$I$157,5,FALSE),0)</f>
        <v>7790</v>
      </c>
      <c r="P53" s="49">
        <f>IF(ISNUMBER(I53),VLOOKUP($B53,'Represented Populations'!$A$4:$I$157,6,FALSE),0)</f>
        <v>7800</v>
      </c>
      <c r="Q53" s="49">
        <f>IF(ISNUMBER(J53),VLOOKUP($B53,'Represented Populations'!$A$4:$I$157,7,FALSE),0)</f>
        <v>7510</v>
      </c>
      <c r="R53" s="42">
        <f>IF(ISNUMBER(K53),VLOOKUP($B53,'Represented Populations'!$A$4:$I$157,8,FALSE),0)</f>
        <v>7030</v>
      </c>
      <c r="T53" s="28"/>
      <c r="U53" s="28"/>
      <c r="V53" s="28"/>
      <c r="W53" s="28"/>
      <c r="X53" s="28"/>
      <c r="Y53" s="28"/>
      <c r="Z53" s="28"/>
      <c r="AA53" s="28"/>
      <c r="AB53" s="28"/>
    </row>
    <row r="54" spans="1:28" s="50" customFormat="1">
      <c r="A54" s="48" t="s">
        <v>21</v>
      </c>
      <c r="B54" s="73" t="s">
        <v>21</v>
      </c>
      <c r="C54" s="40" t="s">
        <v>251</v>
      </c>
      <c r="D54" s="81" t="s">
        <v>266</v>
      </c>
      <c r="E54" s="131">
        <f>VLOOKUP($A54,'Annual Mean'!$A$3:$L$83,6,FALSE)</f>
        <v>18</v>
      </c>
      <c r="F54" s="132">
        <f>VLOOKUP($A54,'Annual Mean'!$A$3:$L$83,7,FALSE)</f>
        <v>18.2</v>
      </c>
      <c r="G54" s="132"/>
      <c r="H54" s="132">
        <f>VLOOKUP($A54,'Annual Mean'!$A$3:$L$83,9,FALSE)</f>
        <v>18.5</v>
      </c>
      <c r="I54" s="132">
        <f>VLOOKUP($A54,'Annual Mean'!$A$3:$L$83,10,FALSE)</f>
        <v>17.8</v>
      </c>
      <c r="J54" s="132">
        <f>VLOOKUP($A54,'Annual Mean'!$A$3:$L$83,11,FALSE)</f>
        <v>16.899999999999999</v>
      </c>
      <c r="K54" s="132">
        <f>VLOOKUP($A54,'Annual Mean'!$A$3:$L$83,12,FALSE)</f>
        <v>17.2</v>
      </c>
      <c r="L54" s="100">
        <f>IF(ISNUMBER(E54),VLOOKUP($B54,'Represented Populations'!$A$4:$I$157,2,FALSE),0)</f>
        <v>12200</v>
      </c>
      <c r="M54" s="49">
        <f>IF(ISNUMBER(F54),VLOOKUP($B54,'Represented Populations'!$A$4:$I$157,3,FALSE),0)</f>
        <v>12400</v>
      </c>
      <c r="N54" s="49">
        <f>IF(ISNUMBER(G54),VLOOKUP($B54,'Represented Populations'!$A$4:$I$157,4,FALSE),0)</f>
        <v>0</v>
      </c>
      <c r="O54" s="49">
        <f>IF(ISNUMBER(H54),VLOOKUP($B54,'Represented Populations'!$A$4:$I$157,5,FALSE),0)</f>
        <v>12650</v>
      </c>
      <c r="P54" s="49">
        <f>IF(ISNUMBER(I54),VLOOKUP($B54,'Represented Populations'!$A$4:$I$157,6,FALSE),0)</f>
        <v>12700</v>
      </c>
      <c r="Q54" s="49">
        <f>IF(ISNUMBER(J54),VLOOKUP($B54,'Represented Populations'!$A$4:$I$157,7,FALSE),0)</f>
        <v>12950</v>
      </c>
      <c r="R54" s="42">
        <f>IF(ISNUMBER(K54),VLOOKUP($B54,'Represented Populations'!$A$4:$I$157,8,FALSE),0)</f>
        <v>13200</v>
      </c>
      <c r="T54" s="28"/>
      <c r="U54" s="28"/>
      <c r="V54" s="28"/>
      <c r="W54" s="28"/>
      <c r="X54" s="28"/>
      <c r="Y54" s="28"/>
      <c r="Z54" s="28"/>
      <c r="AA54" s="28"/>
      <c r="AB54" s="28"/>
    </row>
    <row r="55" spans="1:28" s="50" customFormat="1">
      <c r="A55" s="48" t="s">
        <v>112</v>
      </c>
      <c r="B55" s="43" t="s">
        <v>112</v>
      </c>
      <c r="C55" s="40" t="s">
        <v>251</v>
      </c>
      <c r="D55" s="81" t="s">
        <v>266</v>
      </c>
      <c r="E55" s="131"/>
      <c r="F55" s="132"/>
      <c r="G55" s="132"/>
      <c r="H55" s="132">
        <f>VLOOKUP($A55,'Annual Mean'!$A$3:$L$83,9,FALSE)</f>
        <v>20.2</v>
      </c>
      <c r="I55" s="132">
        <f>VLOOKUP($A55,'Annual Mean'!$A$3:$L$83,10,FALSE)</f>
        <v>21.1</v>
      </c>
      <c r="J55" s="132">
        <f>VLOOKUP($A55,'Annual Mean'!$A$3:$L$83,11,FALSE)</f>
        <v>18.600000000000001</v>
      </c>
      <c r="K55" s="132">
        <f>VLOOKUP($A55,'Annual Mean'!$A$3:$L$83,12,FALSE)</f>
        <v>16.5</v>
      </c>
      <c r="L55" s="100">
        <f>IF(ISNUMBER(E55),VLOOKUP($B55,'Represented Populations'!$A$4:$I$157,2,FALSE),0)</f>
        <v>0</v>
      </c>
      <c r="M55" s="49">
        <f>IF(ISNUMBER(F55),VLOOKUP($B55,'Represented Populations'!$A$4:$I$157,3,FALSE),0)</f>
        <v>0</v>
      </c>
      <c r="N55" s="49">
        <f>IF(ISNUMBER(G55),VLOOKUP($B55,'Represented Populations'!$A$4:$I$157,4,FALSE),0)</f>
        <v>0</v>
      </c>
      <c r="O55" s="49">
        <f>IF(ISNUMBER(H55),VLOOKUP($B55,'Represented Populations'!$A$4:$I$157,5,FALSE),0)</f>
        <v>950</v>
      </c>
      <c r="P55" s="49">
        <f>IF(ISNUMBER(I55),VLOOKUP($B55,'Represented Populations'!$A$4:$I$157,6,FALSE),0)</f>
        <v>940</v>
      </c>
      <c r="Q55" s="49">
        <f>IF(ISNUMBER(J55),VLOOKUP($B55,'Represented Populations'!$A$4:$I$157,7,FALSE),0)</f>
        <v>940</v>
      </c>
      <c r="R55" s="42">
        <f>IF(ISNUMBER(K55),VLOOKUP($B55,'Represented Populations'!$A$4:$I$157,8,FALSE),0)</f>
        <v>960</v>
      </c>
      <c r="T55" s="28"/>
      <c r="U55" s="28"/>
      <c r="V55" s="28"/>
      <c r="W55" s="28"/>
      <c r="X55" s="28"/>
      <c r="Y55" s="28"/>
      <c r="Z55" s="28"/>
      <c r="AA55" s="28"/>
      <c r="AB55" s="28"/>
    </row>
    <row r="56" spans="1:28" s="50" customFormat="1">
      <c r="A56" s="48" t="s">
        <v>22</v>
      </c>
      <c r="B56" s="73" t="s">
        <v>22</v>
      </c>
      <c r="C56" s="40" t="s">
        <v>251</v>
      </c>
      <c r="D56" s="81" t="s">
        <v>266</v>
      </c>
      <c r="E56" s="131"/>
      <c r="F56" s="132">
        <f>VLOOKUP($A56,'Annual Mean'!$A$3:$L$83,7,FALSE)</f>
        <v>15.2</v>
      </c>
      <c r="G56" s="132"/>
      <c r="H56" s="132">
        <f>VLOOKUP($A56,'Annual Mean'!$A$3:$L$83,9,FALSE)</f>
        <v>20.3</v>
      </c>
      <c r="I56" s="132"/>
      <c r="J56" s="132">
        <f>VLOOKUP($A56,'Annual Mean'!$A$3:$L$83,11,FALSE)</f>
        <v>17.600000000000001</v>
      </c>
      <c r="K56" s="132">
        <f>VLOOKUP($A56,'Annual Mean'!$A$3:$L$83,12,FALSE)</f>
        <v>17.899999999999999</v>
      </c>
      <c r="L56" s="100">
        <f>IF(ISNUMBER(E56),VLOOKUP($B56,'Represented Populations'!$A$4:$I$157,2,FALSE),0)</f>
        <v>0</v>
      </c>
      <c r="M56" s="49">
        <f>IF(ISNUMBER(F56),VLOOKUP($B56,'Represented Populations'!$A$4:$I$157,3,FALSE),0)</f>
        <v>2920</v>
      </c>
      <c r="N56" s="49">
        <f>IF(ISNUMBER(G56),VLOOKUP($B56,'Represented Populations'!$A$4:$I$157,4,FALSE),0)</f>
        <v>0</v>
      </c>
      <c r="O56" s="49">
        <f>IF(ISNUMBER(H56),VLOOKUP($B56,'Represented Populations'!$A$4:$I$157,5,FALSE),0)</f>
        <v>2920</v>
      </c>
      <c r="P56" s="49">
        <f>IF(ISNUMBER(I56),VLOOKUP($B56,'Represented Populations'!$A$4:$I$157,6,FALSE),0)</f>
        <v>0</v>
      </c>
      <c r="Q56" s="49">
        <f>IF(ISNUMBER(J56),VLOOKUP($B56,'Represented Populations'!$A$4:$I$157,7,FALSE),0)</f>
        <v>2970</v>
      </c>
      <c r="R56" s="42">
        <f>IF(ISNUMBER(K56),VLOOKUP($B56,'Represented Populations'!$A$4:$I$157,8,FALSE),0)</f>
        <v>2950</v>
      </c>
      <c r="T56" s="28"/>
      <c r="U56" s="28"/>
      <c r="V56" s="28"/>
      <c r="W56" s="28"/>
      <c r="X56" s="28"/>
      <c r="Y56" s="28"/>
      <c r="Z56" s="28"/>
      <c r="AA56" s="28"/>
      <c r="AB56" s="28"/>
    </row>
    <row r="57" spans="1:28" s="50" customFormat="1">
      <c r="A57" s="48" t="s">
        <v>46</v>
      </c>
      <c r="B57" s="20" t="s">
        <v>46</v>
      </c>
      <c r="C57" s="40" t="s">
        <v>251</v>
      </c>
      <c r="D57" s="81" t="s">
        <v>265</v>
      </c>
      <c r="E57" s="131">
        <f>VLOOKUP($A57,'Annual Mean'!$A$3:$L$83,6,FALSE)</f>
        <v>15.4</v>
      </c>
      <c r="F57" s="132">
        <f>VLOOKUP($A57,'Annual Mean'!$A$3:$L$83,7,FALSE)</f>
        <v>14.5</v>
      </c>
      <c r="G57" s="132">
        <f>VLOOKUP($A57,'Annual Mean'!$A$3:$L$83,8,FALSE)</f>
        <v>14.7</v>
      </c>
      <c r="H57" s="132">
        <f>VLOOKUP($A57,'Annual Mean'!$A$3:$L$83,9,FALSE)</f>
        <v>13.5</v>
      </c>
      <c r="I57" s="132">
        <f>VLOOKUP($A57,'Annual Mean'!$A$3:$L$83,10,FALSE)</f>
        <v>13.2</v>
      </c>
      <c r="J57" s="132">
        <f>VLOOKUP($A57,'Annual Mean'!$A$3:$L$83,11,FALSE)</f>
        <v>13</v>
      </c>
      <c r="K57" s="132">
        <f>VLOOKUP($A57,'Annual Mean'!$A$3:$L$83,12,FALSE)</f>
        <v>14</v>
      </c>
      <c r="L57" s="100">
        <f>IF(ISNUMBER(E57),VLOOKUP($B57,'Represented Populations'!$A$4:$I$157,2,FALSE),0)</f>
        <v>18100</v>
      </c>
      <c r="M57" s="49">
        <f>IF(ISNUMBER(F57),VLOOKUP($B57,'Represented Populations'!$A$4:$I$157,3,FALSE),0)</f>
        <v>18050</v>
      </c>
      <c r="N57" s="49">
        <f>IF(ISNUMBER(G57),VLOOKUP($B57,'Represented Populations'!$A$4:$I$157,4,FALSE),0)</f>
        <v>18050</v>
      </c>
      <c r="O57" s="49">
        <f>IF(ISNUMBER(H57),VLOOKUP($B57,'Represented Populations'!$A$4:$I$157,5,FALSE),0)</f>
        <v>18100</v>
      </c>
      <c r="P57" s="49">
        <f>IF(ISNUMBER(I57),VLOOKUP($B57,'Represented Populations'!$A$4:$I$157,6,FALSE),0)</f>
        <v>18200</v>
      </c>
      <c r="Q57" s="49">
        <f>IF(ISNUMBER(J57),VLOOKUP($B57,'Represented Populations'!$A$4:$I$157,7,FALSE),0)</f>
        <v>18250</v>
      </c>
      <c r="R57" s="42">
        <f>IF(ISNUMBER(K57),VLOOKUP($B57,'Represented Populations'!$A$4:$I$157,8,FALSE),0)</f>
        <v>18250</v>
      </c>
      <c r="T57" s="28"/>
      <c r="U57" s="28"/>
      <c r="V57" s="28"/>
      <c r="W57" s="28"/>
      <c r="X57" s="28"/>
      <c r="Y57" s="28"/>
      <c r="Z57" s="28"/>
      <c r="AA57" s="28"/>
      <c r="AB57" s="28"/>
    </row>
    <row r="58" spans="1:28" s="50" customFormat="1">
      <c r="A58" s="83" t="s">
        <v>55</v>
      </c>
      <c r="B58" s="73" t="s">
        <v>55</v>
      </c>
      <c r="C58" s="40" t="s">
        <v>251</v>
      </c>
      <c r="D58" s="81" t="s">
        <v>265</v>
      </c>
      <c r="E58" s="131"/>
      <c r="F58" s="132">
        <f>VLOOKUP($A58,'Annual Mean'!$A$3:$L$83,7,FALSE)</f>
        <v>12.4</v>
      </c>
      <c r="G58" s="132">
        <f>VLOOKUP($A58,'Annual Mean'!$A$3:$L$83,8,FALSE)</f>
        <v>13.9</v>
      </c>
      <c r="H58" s="132">
        <f>VLOOKUP($A58,'Annual Mean'!$A$3:$L$83,9,FALSE)</f>
        <v>13.8</v>
      </c>
      <c r="I58" s="132">
        <f>VLOOKUP($A58,'Annual Mean'!$A$3:$L$83,10,FALSE)</f>
        <v>11.9</v>
      </c>
      <c r="J58" s="132">
        <f>VLOOKUP($A58,'Annual Mean'!$A$3:$L$83,11,FALSE)</f>
        <v>13</v>
      </c>
      <c r="K58" s="132">
        <f>VLOOKUP($A58,'Annual Mean'!$A$3:$L$83,12,FALSE)</f>
        <v>13.8</v>
      </c>
      <c r="L58" s="100">
        <f>IF(ISNUMBER(E58),VLOOKUP($B58,'Represented Populations'!$A$4:$I$157,2,FALSE),0)</f>
        <v>0</v>
      </c>
      <c r="M58" s="49">
        <f>IF(ISNUMBER(F58),VLOOKUP($B58,'Represented Populations'!$A$4:$I$157,3,FALSE),0)</f>
        <v>1830</v>
      </c>
      <c r="N58" s="49">
        <f>IF(ISNUMBER(G58),VLOOKUP($B58,'Represented Populations'!$A$4:$I$157,4,FALSE),0)</f>
        <v>1820</v>
      </c>
      <c r="O58" s="49">
        <f>IF(ISNUMBER(H58),VLOOKUP($B58,'Represented Populations'!$A$4:$I$157,5,FALSE),0)</f>
        <v>1820</v>
      </c>
      <c r="P58" s="49">
        <f>IF(ISNUMBER(I58),VLOOKUP($B58,'Represented Populations'!$A$4:$I$157,6,FALSE),0)</f>
        <v>1810</v>
      </c>
      <c r="Q58" s="49">
        <f>IF(ISNUMBER(J58),VLOOKUP($B58,'Represented Populations'!$A$4:$I$157,7,FALSE),0)</f>
        <v>1800</v>
      </c>
      <c r="R58" s="42">
        <f>IF(ISNUMBER(K58),VLOOKUP($B58,'Represented Populations'!$A$4:$I$157,8,FALSE),0)</f>
        <v>1740</v>
      </c>
      <c r="T58" s="28"/>
      <c r="U58" s="28"/>
      <c r="V58" s="28"/>
      <c r="W58" s="28"/>
      <c r="X58" s="28"/>
      <c r="Y58" s="28"/>
      <c r="Z58" s="28"/>
      <c r="AA58" s="28"/>
      <c r="AB58" s="28"/>
    </row>
    <row r="59" spans="1:28" s="50" customFormat="1">
      <c r="A59" s="83" t="s">
        <v>56</v>
      </c>
      <c r="B59" s="73" t="s">
        <v>56</v>
      </c>
      <c r="C59" s="40" t="s">
        <v>251</v>
      </c>
      <c r="D59" s="81" t="s">
        <v>265</v>
      </c>
      <c r="E59" s="131"/>
      <c r="F59" s="132"/>
      <c r="G59" s="132"/>
      <c r="H59" s="132"/>
      <c r="I59" s="132">
        <f>VLOOKUP($A59,'Annual Mean'!$A$3:$L$83,10,FALSE)</f>
        <v>15.2</v>
      </c>
      <c r="J59" s="132"/>
      <c r="K59" s="132">
        <f>VLOOKUP($A59,'Annual Mean'!$A$3:$L$83,12,FALSE)</f>
        <v>16.7</v>
      </c>
      <c r="L59" s="100">
        <f>IF(ISNUMBER(E59),VLOOKUP($B59,'Represented Populations'!$A$4:$I$157,2,FALSE),0)</f>
        <v>0</v>
      </c>
      <c r="M59" s="49">
        <f>IF(ISNUMBER(F59),VLOOKUP($B59,'Represented Populations'!$A$4:$I$157,3,FALSE),0)</f>
        <v>0</v>
      </c>
      <c r="N59" s="49">
        <f>IF(ISNUMBER(G59),VLOOKUP($B59,'Represented Populations'!$A$4:$I$157,4,FALSE),0)</f>
        <v>0</v>
      </c>
      <c r="O59" s="49">
        <f>IF(ISNUMBER(H59),VLOOKUP($B59,'Represented Populations'!$A$4:$I$157,5,FALSE),0)</f>
        <v>0</v>
      </c>
      <c r="P59" s="49">
        <f>IF(ISNUMBER(I59),VLOOKUP($B59,'Represented Populations'!$A$4:$I$157,6,FALSE),0)</f>
        <v>5070</v>
      </c>
      <c r="Q59" s="49">
        <f>IF(ISNUMBER(J59),VLOOKUP($B59,'Represented Populations'!$A$4:$I$157,7,FALSE),0)</f>
        <v>0</v>
      </c>
      <c r="R59" s="42">
        <f>IF(ISNUMBER(K59),VLOOKUP($B59,'Represented Populations'!$A$4:$I$157,8,FALSE),0)</f>
        <v>4870</v>
      </c>
      <c r="T59" s="28"/>
      <c r="U59" s="28"/>
      <c r="V59" s="28"/>
      <c r="W59" s="28"/>
      <c r="X59" s="28"/>
      <c r="Y59" s="28"/>
      <c r="Z59" s="28"/>
      <c r="AA59" s="28"/>
      <c r="AB59" s="28"/>
    </row>
    <row r="60" spans="1:28" s="50" customFormat="1">
      <c r="A60" s="48" t="s">
        <v>65</v>
      </c>
      <c r="B60" s="73" t="s">
        <v>65</v>
      </c>
      <c r="C60" s="40" t="s">
        <v>251</v>
      </c>
      <c r="D60" s="81" t="s">
        <v>265</v>
      </c>
      <c r="E60" s="131"/>
      <c r="F60" s="132">
        <f>VLOOKUP($A60,'Annual Mean'!$A$3:$L$83,7,FALSE)</f>
        <v>6</v>
      </c>
      <c r="G60" s="132">
        <f>VLOOKUP($A60,'Annual Mean'!$A$3:$L$83,8,FALSE)</f>
        <v>6</v>
      </c>
      <c r="H60" s="132"/>
      <c r="I60" s="132"/>
      <c r="J60" s="132"/>
      <c r="K60" s="132"/>
      <c r="L60" s="100">
        <f>IF(ISNUMBER(E60),VLOOKUP($B60,'Represented Populations'!$A$4:$I$157,2,FALSE),0)</f>
        <v>0</v>
      </c>
      <c r="M60" s="49">
        <f>IF(ISNUMBER(F60),VLOOKUP($B60,'Represented Populations'!$A$4:$I$157,3,FALSE),0)</f>
        <v>5430</v>
      </c>
      <c r="N60" s="49">
        <f>IF(ISNUMBER(G60),VLOOKUP($B60,'Represented Populations'!$A$4:$I$157,4,FALSE),0)</f>
        <v>5470</v>
      </c>
      <c r="O60" s="49">
        <f>IF(ISNUMBER(H60),VLOOKUP($B60,'Represented Populations'!$A$4:$I$157,5,FALSE),0)</f>
        <v>0</v>
      </c>
      <c r="P60" s="49">
        <f>IF(ISNUMBER(I60),VLOOKUP($B60,'Represented Populations'!$A$4:$I$157,6,FALSE),0)</f>
        <v>0</v>
      </c>
      <c r="Q60" s="49">
        <f>IF(ISNUMBER(J60),VLOOKUP($B60,'Represented Populations'!$A$4:$I$157,7,FALSE),0)</f>
        <v>0</v>
      </c>
      <c r="R60" s="42">
        <f>IF(ISNUMBER(K60),VLOOKUP($B60,'Represented Populations'!$A$4:$I$157,8,FALSE),0)</f>
        <v>0</v>
      </c>
      <c r="T60" s="28"/>
      <c r="U60" s="28"/>
      <c r="V60" s="28"/>
      <c r="W60" s="28"/>
      <c r="X60" s="28"/>
      <c r="Y60" s="28"/>
      <c r="Z60" s="28"/>
      <c r="AA60" s="28"/>
      <c r="AB60" s="28"/>
    </row>
    <row r="61" spans="1:28" s="50" customFormat="1">
      <c r="A61" s="48" t="s">
        <v>134</v>
      </c>
      <c r="B61" s="72" t="s">
        <v>134</v>
      </c>
      <c r="C61" s="40" t="s">
        <v>251</v>
      </c>
      <c r="D61" s="81" t="s">
        <v>266</v>
      </c>
      <c r="E61" s="131"/>
      <c r="F61" s="132"/>
      <c r="G61" s="132">
        <f>VLOOKUP($A61,'Annual Mean'!$A$3:$L$83,8,FALSE)</f>
        <v>24.9</v>
      </c>
      <c r="H61" s="132">
        <f>VLOOKUP($A61,'Annual Mean'!$A$3:$L$83,9,FALSE)</f>
        <v>22.4</v>
      </c>
      <c r="I61" s="132"/>
      <c r="J61" s="132"/>
      <c r="K61" s="132"/>
      <c r="L61" s="100">
        <f>IF(ISNUMBER(E61),VLOOKUP($B61,'Represented Populations'!$A$4:$I$157,2,FALSE),0)</f>
        <v>0</v>
      </c>
      <c r="M61" s="49">
        <f>IF(ISNUMBER(F61),VLOOKUP($B61,'Represented Populations'!$A$4:$I$157,3,FALSE),0)</f>
        <v>0</v>
      </c>
      <c r="N61" s="49">
        <f>IF(ISNUMBER(G61),VLOOKUP($B61,'Represented Populations'!$A$4:$I$157,4,FALSE),0)</f>
        <v>2350</v>
      </c>
      <c r="O61" s="49">
        <f>IF(ISNUMBER(H61),VLOOKUP($B61,'Represented Populations'!$A$4:$I$157,5,FALSE),0)</f>
        <v>2360</v>
      </c>
      <c r="P61" s="49">
        <f>IF(ISNUMBER(I61),VLOOKUP($B61,'Represented Populations'!$A$4:$I$157,6,FALSE),0)</f>
        <v>0</v>
      </c>
      <c r="Q61" s="49">
        <f>IF(ISNUMBER(J61),VLOOKUP($B61,'Represented Populations'!$A$4:$I$157,7,FALSE),0)</f>
        <v>0</v>
      </c>
      <c r="R61" s="42">
        <f>IF(ISNUMBER(K61),VLOOKUP($B61,'Represented Populations'!$A$4:$I$157,8,FALSE),0)</f>
        <v>0</v>
      </c>
      <c r="T61" s="28"/>
      <c r="U61" s="28"/>
      <c r="V61" s="28"/>
      <c r="W61" s="28"/>
      <c r="X61" s="28"/>
      <c r="Y61" s="28"/>
      <c r="Z61" s="28"/>
      <c r="AA61" s="28"/>
      <c r="AB61" s="28"/>
    </row>
    <row r="62" spans="1:28" s="50" customFormat="1">
      <c r="A62" s="48" t="s">
        <v>135</v>
      </c>
      <c r="B62" s="43" t="s">
        <v>135</v>
      </c>
      <c r="C62" s="40" t="s">
        <v>251</v>
      </c>
      <c r="D62" s="81" t="s">
        <v>266</v>
      </c>
      <c r="E62" s="131"/>
      <c r="F62" s="132"/>
      <c r="G62" s="132"/>
      <c r="H62" s="132"/>
      <c r="I62" s="132">
        <f>VLOOKUP($A62,'Annual Mean'!$A$3:$L$83,10,FALSE)</f>
        <v>19.3</v>
      </c>
      <c r="J62" s="132"/>
      <c r="K62" s="132"/>
      <c r="L62" s="100">
        <f>IF(ISNUMBER(E62),VLOOKUP($B62,'Represented Populations'!$A$4:$I$157,2,FALSE),0)</f>
        <v>0</v>
      </c>
      <c r="M62" s="49">
        <f>IF(ISNUMBER(F62),VLOOKUP($B62,'Represented Populations'!$A$4:$I$157,3,FALSE),0)</f>
        <v>0</v>
      </c>
      <c r="N62" s="49">
        <f>IF(ISNUMBER(G62),VLOOKUP($B62,'Represented Populations'!$A$4:$I$157,4,FALSE),0)</f>
        <v>0</v>
      </c>
      <c r="O62" s="49">
        <f>IF(ISNUMBER(H62),VLOOKUP($B62,'Represented Populations'!$A$4:$I$157,5,FALSE),0)</f>
        <v>0</v>
      </c>
      <c r="P62" s="49">
        <f>IF(ISNUMBER(I62),VLOOKUP($B62,'Represented Populations'!$A$4:$I$157,6,FALSE),0)</f>
        <v>4080</v>
      </c>
      <c r="Q62" s="49">
        <f>IF(ISNUMBER(J62),VLOOKUP($B62,'Represented Populations'!$A$4:$I$157,7,FALSE),0)</f>
        <v>0</v>
      </c>
      <c r="R62" s="42">
        <f>IF(ISNUMBER(K62),VLOOKUP($B62,'Represented Populations'!$A$4:$I$157,8,FALSE),0)</f>
        <v>0</v>
      </c>
      <c r="T62" s="28"/>
      <c r="U62" s="28"/>
      <c r="V62" s="28"/>
      <c r="W62" s="28"/>
      <c r="X62" s="28"/>
      <c r="Y62" s="28"/>
      <c r="Z62" s="28"/>
      <c r="AA62" s="28"/>
      <c r="AB62" s="28"/>
    </row>
    <row r="63" spans="1:28" s="50" customFormat="1">
      <c r="A63" s="80" t="s">
        <v>136</v>
      </c>
      <c r="B63" s="74" t="s">
        <v>136</v>
      </c>
      <c r="C63" s="40" t="s">
        <v>251</v>
      </c>
      <c r="D63" s="81" t="s">
        <v>266</v>
      </c>
      <c r="E63" s="131"/>
      <c r="F63" s="132"/>
      <c r="G63" s="132"/>
      <c r="H63" s="132">
        <f>VLOOKUP($A63,'Annual Mean'!$A$3:$L$83,9,FALSE)</f>
        <v>16.8</v>
      </c>
      <c r="I63" s="132"/>
      <c r="J63" s="132"/>
      <c r="K63" s="132"/>
      <c r="L63" s="100">
        <f>IF(ISNUMBER(E63),VLOOKUP($B63,'Represented Populations'!$A$4:$I$157,2,FALSE),0)</f>
        <v>0</v>
      </c>
      <c r="M63" s="49">
        <f>IF(ISNUMBER(F63),VLOOKUP($B63,'Represented Populations'!$A$4:$I$157,3,FALSE),0)</f>
        <v>0</v>
      </c>
      <c r="N63" s="49">
        <f>IF(ISNUMBER(G63),VLOOKUP($B63,'Represented Populations'!$A$4:$I$157,4,FALSE),0)</f>
        <v>0</v>
      </c>
      <c r="O63" s="49">
        <f>IF(ISNUMBER(H63),VLOOKUP($B63,'Represented Populations'!$A$4:$I$157,5,FALSE),0)</f>
        <v>970</v>
      </c>
      <c r="P63" s="49">
        <f>IF(ISNUMBER(I63),VLOOKUP($B63,'Represented Populations'!$A$4:$I$157,6,FALSE),0)</f>
        <v>0</v>
      </c>
      <c r="Q63" s="49">
        <f>IF(ISNUMBER(J63),VLOOKUP($B63,'Represented Populations'!$A$4:$I$157,7,FALSE),0)</f>
        <v>0</v>
      </c>
      <c r="R63" s="42">
        <f>IF(ISNUMBER(K63),VLOOKUP($B63,'Represented Populations'!$A$4:$I$157,8,FALSE),0)</f>
        <v>0</v>
      </c>
      <c r="T63" s="28"/>
      <c r="U63" s="28"/>
      <c r="V63" s="28"/>
      <c r="W63" s="28"/>
      <c r="X63" s="28"/>
      <c r="Y63" s="28"/>
      <c r="Z63" s="28"/>
      <c r="AA63" s="28"/>
      <c r="AB63" s="28"/>
    </row>
    <row r="64" spans="1:28" s="50" customFormat="1">
      <c r="A64" s="48" t="s">
        <v>137</v>
      </c>
      <c r="B64" s="72" t="s">
        <v>137</v>
      </c>
      <c r="C64" s="40" t="s">
        <v>251</v>
      </c>
      <c r="D64" s="81" t="s">
        <v>266</v>
      </c>
      <c r="E64" s="131"/>
      <c r="F64" s="132"/>
      <c r="G64" s="132">
        <f>VLOOKUP($A64,'Annual Mean'!$A$3:$L$83,8,FALSE)</f>
        <v>19.600000000000001</v>
      </c>
      <c r="H64" s="132">
        <f>VLOOKUP($A64,'Annual Mean'!$A$3:$L$83,9,FALSE)</f>
        <v>17.2</v>
      </c>
      <c r="I64" s="132"/>
      <c r="J64" s="132"/>
      <c r="K64" s="132"/>
      <c r="L64" s="100">
        <f>IF(ISNUMBER(E64),VLOOKUP($B64,'Represented Populations'!$A$4:$I$157,2,FALSE),0)</f>
        <v>0</v>
      </c>
      <c r="M64" s="49">
        <f>IF(ISNUMBER(F64),VLOOKUP($B64,'Represented Populations'!$A$4:$I$157,3,FALSE),0)</f>
        <v>0</v>
      </c>
      <c r="N64" s="49">
        <f>IF(ISNUMBER(G64),VLOOKUP($B64,'Represented Populations'!$A$4:$I$157,4,FALSE),0)</f>
        <v>4070</v>
      </c>
      <c r="O64" s="49">
        <f>IF(ISNUMBER(H64),VLOOKUP($B64,'Represented Populations'!$A$4:$I$157,5,FALSE),0)</f>
        <v>4200</v>
      </c>
      <c r="P64" s="49">
        <f>IF(ISNUMBER(I64),VLOOKUP($B64,'Represented Populations'!$A$4:$I$157,6,FALSE),0)</f>
        <v>0</v>
      </c>
      <c r="Q64" s="49">
        <f>IF(ISNUMBER(J64),VLOOKUP($B64,'Represented Populations'!$A$4:$I$157,7,FALSE),0)</f>
        <v>0</v>
      </c>
      <c r="R64" s="42">
        <f>IF(ISNUMBER(K64),VLOOKUP($B64,'Represented Populations'!$A$4:$I$157,8,FALSE),0)</f>
        <v>0</v>
      </c>
      <c r="T64" s="28"/>
      <c r="U64" s="28"/>
      <c r="V64" s="28"/>
      <c r="W64" s="28"/>
      <c r="X64" s="28"/>
      <c r="Y64" s="28"/>
      <c r="Z64" s="28"/>
      <c r="AA64" s="28"/>
      <c r="AB64" s="28"/>
    </row>
    <row r="65" spans="1:28" s="50" customFormat="1">
      <c r="A65" s="48" t="s">
        <v>139</v>
      </c>
      <c r="B65" s="43" t="s">
        <v>139</v>
      </c>
      <c r="C65" s="40" t="s">
        <v>251</v>
      </c>
      <c r="D65" s="81" t="s">
        <v>266</v>
      </c>
      <c r="E65" s="131"/>
      <c r="F65" s="132"/>
      <c r="G65" s="132"/>
      <c r="H65" s="132">
        <f>VLOOKUP($A65,'Annual Mean'!$A$3:$L$83,9,FALSE)</f>
        <v>24.6</v>
      </c>
      <c r="I65" s="132"/>
      <c r="J65" s="132"/>
      <c r="K65" s="132"/>
      <c r="L65" s="100">
        <f>IF(ISNUMBER(E65),VLOOKUP($B65,'Represented Populations'!$A$4:$I$157,2,FALSE),0)</f>
        <v>0</v>
      </c>
      <c r="M65" s="49">
        <f>IF(ISNUMBER(F65),VLOOKUP($B65,'Represented Populations'!$A$4:$I$157,3,FALSE),0)</f>
        <v>0</v>
      </c>
      <c r="N65" s="49">
        <f>IF(ISNUMBER(G65),VLOOKUP($B65,'Represented Populations'!$A$4:$I$157,4,FALSE),0)</f>
        <v>0</v>
      </c>
      <c r="O65" s="49">
        <f>IF(ISNUMBER(H65),VLOOKUP($B65,'Represented Populations'!$A$4:$I$157,5,FALSE),0)</f>
        <v>1940</v>
      </c>
      <c r="P65" s="49">
        <f>IF(ISNUMBER(I65),VLOOKUP($B65,'Represented Populations'!$A$4:$I$157,6,FALSE),0)</f>
        <v>0</v>
      </c>
      <c r="Q65" s="49">
        <f>IF(ISNUMBER(J65),VLOOKUP($B65,'Represented Populations'!$A$4:$I$157,7,FALSE),0)</f>
        <v>0</v>
      </c>
      <c r="R65" s="42">
        <f>IF(ISNUMBER(K65),VLOOKUP($B65,'Represented Populations'!$A$4:$I$157,8,FALSE),0)</f>
        <v>0</v>
      </c>
      <c r="T65" s="28"/>
      <c r="U65" s="28"/>
      <c r="V65" s="28"/>
      <c r="W65" s="28"/>
      <c r="X65" s="28"/>
      <c r="Y65" s="28"/>
      <c r="Z65" s="28"/>
      <c r="AA65" s="28"/>
      <c r="AB65" s="28"/>
    </row>
    <row r="66" spans="1:28" s="50" customFormat="1">
      <c r="A66" s="48" t="s">
        <v>140</v>
      </c>
      <c r="B66" s="43" t="s">
        <v>140</v>
      </c>
      <c r="C66" s="40" t="s">
        <v>251</v>
      </c>
      <c r="D66" s="81" t="s">
        <v>266</v>
      </c>
      <c r="E66" s="131"/>
      <c r="F66" s="132"/>
      <c r="G66" s="132">
        <f>VLOOKUP($A66,'Annual Mean'!$A$3:$L$83,8,FALSE)</f>
        <v>17.600000000000001</v>
      </c>
      <c r="H66" s="132">
        <f>VLOOKUP($A66,'Annual Mean'!$A$3:$L$83,9,FALSE)</f>
        <v>18.7</v>
      </c>
      <c r="I66" s="132"/>
      <c r="J66" s="132"/>
      <c r="K66" s="132"/>
      <c r="L66" s="100">
        <f>IF(ISNUMBER(E66),VLOOKUP($B66,'Represented Populations'!$A$4:$I$157,2,FALSE),0)</f>
        <v>0</v>
      </c>
      <c r="M66" s="49">
        <f>IF(ISNUMBER(F66),VLOOKUP($B66,'Represented Populations'!$A$4:$I$157,3,FALSE),0)</f>
        <v>0</v>
      </c>
      <c r="N66" s="49">
        <f>IF(ISNUMBER(G66),VLOOKUP($B66,'Represented Populations'!$A$4:$I$157,4,FALSE),0)</f>
        <v>10930</v>
      </c>
      <c r="O66" s="49">
        <f>IF(ISNUMBER(H66),VLOOKUP($B66,'Represented Populations'!$A$4:$I$157,5,FALSE),0)</f>
        <v>11070</v>
      </c>
      <c r="P66" s="49">
        <f>IF(ISNUMBER(I66),VLOOKUP($B66,'Represented Populations'!$A$4:$I$157,6,FALSE),0)</f>
        <v>0</v>
      </c>
      <c r="Q66" s="49">
        <f>IF(ISNUMBER(J66),VLOOKUP($B66,'Represented Populations'!$A$4:$I$157,7,FALSE),0)</f>
        <v>0</v>
      </c>
      <c r="R66" s="42">
        <f>IF(ISNUMBER(K66),VLOOKUP($B66,'Represented Populations'!$A$4:$I$157,8,FALSE),0)</f>
        <v>0</v>
      </c>
      <c r="S66" s="137"/>
      <c r="T66" s="28"/>
      <c r="U66" s="28"/>
      <c r="V66" s="28"/>
      <c r="W66" s="28"/>
      <c r="X66" s="28"/>
      <c r="Y66" s="28"/>
      <c r="Z66" s="28"/>
      <c r="AA66" s="28"/>
      <c r="AB66" s="28"/>
    </row>
    <row r="67" spans="1:28" s="50" customFormat="1">
      <c r="A67" s="48" t="s">
        <v>70</v>
      </c>
      <c r="B67" s="20" t="s">
        <v>70</v>
      </c>
      <c r="C67" s="40" t="s">
        <v>251</v>
      </c>
      <c r="D67" s="81" t="s">
        <v>266</v>
      </c>
      <c r="E67" s="131">
        <f>VLOOKUP($A67,'Annual Mean'!$A$3:$L$83,6,FALSE)</f>
        <v>22.2</v>
      </c>
      <c r="F67" s="132">
        <f>VLOOKUP($A67,'Annual Mean'!$A$3:$L$83,7,FALSE)</f>
        <v>18.899999999999999</v>
      </c>
      <c r="G67" s="132">
        <f>VLOOKUP($A67,'Annual Mean'!$A$3:$L$83,8,FALSE)</f>
        <v>28.5</v>
      </c>
      <c r="H67" s="132">
        <f>VLOOKUP($A67,'Annual Mean'!$A$3:$L$83,9,FALSE)</f>
        <v>23.2</v>
      </c>
      <c r="I67" s="132">
        <f>VLOOKUP($A67,'Annual Mean'!$A$3:$L$83,10,FALSE)</f>
        <v>23.8</v>
      </c>
      <c r="J67" s="132">
        <f>VLOOKUP($A67,'Annual Mean'!$A$3:$L$83,11,FALSE)</f>
        <v>24.3</v>
      </c>
      <c r="K67" s="132">
        <f>VLOOKUP($A67,'Annual Mean'!$A$3:$L$83,12,FALSE)</f>
        <v>21.8</v>
      </c>
      <c r="L67" s="100">
        <f>IF(ISNUMBER(E67),VLOOKUP($B67,'Represented Populations'!$A$4:$I$157,2,FALSE),0)</f>
        <v>4940</v>
      </c>
      <c r="M67" s="49">
        <f>IF(ISNUMBER(F67),VLOOKUP($B67,'Represented Populations'!$A$4:$I$157,3,FALSE),0)</f>
        <v>4950</v>
      </c>
      <c r="N67" s="49">
        <f>IF(ISNUMBER(G67),VLOOKUP($B67,'Represented Populations'!$A$4:$I$157,4,FALSE),0)</f>
        <v>4930</v>
      </c>
      <c r="O67" s="49">
        <f>IF(ISNUMBER(H67),VLOOKUP($B67,'Represented Populations'!$A$4:$I$157,5,FALSE),0)</f>
        <v>4930</v>
      </c>
      <c r="P67" s="49">
        <f>IF(ISNUMBER(I67),VLOOKUP($B67,'Represented Populations'!$A$4:$I$157,6,FALSE),0)</f>
        <v>4940</v>
      </c>
      <c r="Q67" s="49">
        <f>IF(ISNUMBER(J67),VLOOKUP($B67,'Represented Populations'!$A$4:$I$157,7,FALSE),0)</f>
        <v>4950</v>
      </c>
      <c r="R67" s="42">
        <f>IF(ISNUMBER(K67),VLOOKUP($B67,'Represented Populations'!$A$4:$I$157,8,FALSE),0)</f>
        <v>4950</v>
      </c>
      <c r="T67" s="28"/>
      <c r="U67" s="28"/>
      <c r="V67" s="28"/>
      <c r="W67" s="28"/>
      <c r="X67" s="28"/>
      <c r="Y67" s="28"/>
      <c r="Z67" s="28"/>
      <c r="AA67" s="28"/>
      <c r="AB67" s="28"/>
    </row>
    <row r="68" spans="1:28" s="50" customFormat="1">
      <c r="A68" s="48" t="s">
        <v>72</v>
      </c>
      <c r="B68" s="20" t="s">
        <v>72</v>
      </c>
      <c r="C68" s="40" t="s">
        <v>251</v>
      </c>
      <c r="D68" s="81" t="s">
        <v>266</v>
      </c>
      <c r="E68" s="131"/>
      <c r="F68" s="132"/>
      <c r="G68" s="132"/>
      <c r="H68" s="132"/>
      <c r="I68" s="132"/>
      <c r="J68" s="132">
        <f>VLOOKUP($A68,'Annual Mean'!$A$3:$L$83,11,FALSE)</f>
        <v>17.100000000000001</v>
      </c>
      <c r="K68" s="132"/>
      <c r="L68" s="100">
        <f>IF(ISNUMBER(E68),VLOOKUP($B68,'Represented Populations'!$A$4:$I$157,2,FALSE),0)</f>
        <v>0</v>
      </c>
      <c r="M68" s="49">
        <f>IF(ISNUMBER(F68),VLOOKUP($B68,'Represented Populations'!$A$4:$I$157,3,FALSE),0)</f>
        <v>0</v>
      </c>
      <c r="N68" s="49">
        <f>IF(ISNUMBER(G68),VLOOKUP($B68,'Represented Populations'!$A$4:$I$157,4,FALSE),0)</f>
        <v>0</v>
      </c>
      <c r="O68" s="49">
        <f>IF(ISNUMBER(H68),VLOOKUP($B68,'Represented Populations'!$A$4:$I$157,5,FALSE),0)</f>
        <v>0</v>
      </c>
      <c r="P68" s="49">
        <f>IF(ISNUMBER(I68),VLOOKUP($B68,'Represented Populations'!$A$4:$I$157,6,FALSE),0)</f>
        <v>0</v>
      </c>
      <c r="Q68" s="49">
        <f>IF(ISNUMBER(J68),VLOOKUP($B68,'Represented Populations'!$A$4:$I$157,7,FALSE),0)</f>
        <v>420</v>
      </c>
      <c r="R68" s="42">
        <f>IF(ISNUMBER(K68),VLOOKUP($B68,'Represented Populations'!$A$4:$I$157,8,FALSE),0)</f>
        <v>0</v>
      </c>
      <c r="T68" s="28"/>
      <c r="U68" s="28"/>
      <c r="V68" s="28"/>
      <c r="W68" s="28"/>
      <c r="X68" s="28"/>
      <c r="Y68" s="28"/>
      <c r="Z68" s="28"/>
      <c r="AA68" s="28"/>
      <c r="AB68" s="28"/>
    </row>
    <row r="69" spans="1:28" s="50" customFormat="1">
      <c r="A69" s="48" t="s">
        <v>23</v>
      </c>
      <c r="B69" s="73" t="s">
        <v>23</v>
      </c>
      <c r="C69" s="40" t="s">
        <v>250</v>
      </c>
      <c r="D69" s="81" t="s">
        <v>266</v>
      </c>
      <c r="E69" s="131"/>
      <c r="F69" s="132">
        <f>VLOOKUP($A69,'Annual Mean'!$A$3:$L$83,7,FALSE)</f>
        <v>17.899999999999999</v>
      </c>
      <c r="G69" s="132">
        <f>VLOOKUP($A69,'Annual Mean'!$A$3:$L$83,8,FALSE)</f>
        <v>20</v>
      </c>
      <c r="H69" s="132">
        <f>VLOOKUP($A69,'Annual Mean'!$A$3:$L$83,9,FALSE)</f>
        <v>18.100000000000001</v>
      </c>
      <c r="I69" s="132">
        <f>VLOOKUP($A69,'Annual Mean'!$A$3:$L$83,10,FALSE)</f>
        <v>22.4</v>
      </c>
      <c r="J69" s="132">
        <f>VLOOKUP($A69,'Annual Mean'!$A$3:$L$83,11,FALSE)</f>
        <v>20.5</v>
      </c>
      <c r="K69" s="132">
        <f>VLOOKUP($A69,'Annual Mean'!$A$3:$L$83,12,FALSE)</f>
        <v>22.6</v>
      </c>
      <c r="L69" s="100">
        <f>IF(ISNUMBER(E69),VLOOKUP($B69,'Represented Populations'!$A$4:$I$157,2,FALSE),0)</f>
        <v>0</v>
      </c>
      <c r="M69" s="49">
        <f>IF(ISNUMBER(F69),VLOOKUP($B69,'Represented Populations'!$A$4:$I$157,3,FALSE),0)</f>
        <v>9160</v>
      </c>
      <c r="N69" s="49">
        <f>IF(ISNUMBER(G69),VLOOKUP($B69,'Represented Populations'!$A$4:$I$157,4,FALSE),0)</f>
        <v>9120</v>
      </c>
      <c r="O69" s="49">
        <f>IF(ISNUMBER(H69),VLOOKUP($B69,'Represented Populations'!$A$4:$I$157,5,FALSE),0)</f>
        <v>9120</v>
      </c>
      <c r="P69" s="49">
        <f>IF(ISNUMBER(I69),VLOOKUP($B69,'Represented Populations'!$A$4:$I$157,6,FALSE),0)</f>
        <v>9140</v>
      </c>
      <c r="Q69" s="49">
        <f>IF(ISNUMBER(J69),VLOOKUP($B69,'Represented Populations'!$A$4:$I$157,7,FALSE),0)</f>
        <v>9110</v>
      </c>
      <c r="R69" s="42">
        <f>IF(ISNUMBER(K69),VLOOKUP($B69,'Represented Populations'!$A$4:$I$157,8,FALSE),0)</f>
        <v>9070</v>
      </c>
      <c r="T69" s="28"/>
      <c r="U69" s="28"/>
      <c r="V69" s="28"/>
      <c r="W69" s="28"/>
      <c r="X69" s="28"/>
      <c r="Y69" s="28"/>
      <c r="Z69" s="28"/>
      <c r="AA69" s="28"/>
      <c r="AB69" s="28"/>
    </row>
    <row r="70" spans="1:28" s="50" customFormat="1">
      <c r="A70" s="48" t="s">
        <v>118</v>
      </c>
      <c r="B70" s="43" t="s">
        <v>118</v>
      </c>
      <c r="C70" s="40" t="s">
        <v>251</v>
      </c>
      <c r="D70" s="81" t="s">
        <v>266</v>
      </c>
      <c r="E70" s="131"/>
      <c r="F70" s="132"/>
      <c r="G70" s="132"/>
      <c r="H70" s="132"/>
      <c r="I70" s="132"/>
      <c r="J70" s="132">
        <f>VLOOKUP($A70,'Annual Mean'!$A$3:$L$83,11,FALSE)</f>
        <v>6.4</v>
      </c>
      <c r="K70" s="132">
        <f>VLOOKUP($A70,'Annual Mean'!$A$3:$L$83,12,FALSE)</f>
        <v>5.6</v>
      </c>
      <c r="L70" s="100">
        <f>IF(ISNUMBER(E70),VLOOKUP($B70,'Represented Populations'!$A$4:$I$157,2,FALSE),0)</f>
        <v>0</v>
      </c>
      <c r="M70" s="49">
        <f>IF(ISNUMBER(F70),VLOOKUP($B70,'Represented Populations'!$A$4:$I$157,3,FALSE),0)</f>
        <v>0</v>
      </c>
      <c r="N70" s="49">
        <f>IF(ISNUMBER(G70),VLOOKUP($B70,'Represented Populations'!$A$4:$I$157,4,FALSE),0)</f>
        <v>0</v>
      </c>
      <c r="O70" s="49">
        <f>IF(ISNUMBER(H70),VLOOKUP($B70,'Represented Populations'!$A$4:$I$157,5,FALSE),0)</f>
        <v>0</v>
      </c>
      <c r="P70" s="49">
        <f>IF(ISNUMBER(I70),VLOOKUP($B70,'Represented Populations'!$A$4:$I$157,6,FALSE),0)</f>
        <v>0</v>
      </c>
      <c r="Q70" s="49">
        <f>IF(ISNUMBER(J70),VLOOKUP($B70,'Represented Populations'!$A$4:$I$157,7,FALSE),0)</f>
        <v>2000</v>
      </c>
      <c r="R70" s="42">
        <f>IF(ISNUMBER(K70),VLOOKUP($B70,'Represented Populations'!$A$4:$I$157,8,FALSE),0)</f>
        <v>1980</v>
      </c>
      <c r="T70" s="28"/>
      <c r="U70" s="28"/>
      <c r="V70" s="28"/>
      <c r="W70" s="28"/>
      <c r="X70" s="28"/>
      <c r="Y70" s="28"/>
      <c r="Z70" s="28"/>
      <c r="AA70" s="28"/>
      <c r="AB70" s="28"/>
    </row>
    <row r="71" spans="1:28" s="50" customFormat="1">
      <c r="A71" s="80" t="s">
        <v>75</v>
      </c>
      <c r="B71" s="73" t="s">
        <v>74</v>
      </c>
      <c r="C71" s="40" t="s">
        <v>251</v>
      </c>
      <c r="D71" s="81" t="s">
        <v>266</v>
      </c>
      <c r="E71" s="131">
        <f>VLOOKUP($A71,'Annual Mean'!$A$3:$L$83,6,FALSE)</f>
        <v>23.7</v>
      </c>
      <c r="F71" s="132">
        <f>VLOOKUP($A71,'Annual Mean'!$A$3:$L$83,7,FALSE)</f>
        <v>21.2</v>
      </c>
      <c r="G71" s="132">
        <f>VLOOKUP($A71,'Annual Mean'!$A$3:$L$83,8,FALSE)</f>
        <v>21</v>
      </c>
      <c r="H71" s="132">
        <f>VLOOKUP($A71,'Annual Mean'!$A$3:$L$83,9,FALSE)</f>
        <v>22.7</v>
      </c>
      <c r="I71" s="132">
        <f>VLOOKUP($A71,'Annual Mean'!$A$3:$L$83,10,FALSE)</f>
        <v>20.3</v>
      </c>
      <c r="J71" s="132">
        <f>VLOOKUP($A71,'Annual Mean'!$A$3:$L$83,11,FALSE)</f>
        <v>18.600000000000001</v>
      </c>
      <c r="K71" s="132">
        <f>VLOOKUP($A71,'Annual Mean'!$A$3:$L$83,12,FALSE)</f>
        <v>19.899999999999999</v>
      </c>
      <c r="L71" s="100">
        <f>IF(ISNUMBER(E71),VLOOKUP($B71,'Represented Populations'!$A$4:$I$157,2,FALSE),0)</f>
        <v>12000</v>
      </c>
      <c r="M71" s="49">
        <f>IF(ISNUMBER(F71),VLOOKUP($B71,'Represented Populations'!$A$4:$I$157,3,FALSE),0)</f>
        <v>12100</v>
      </c>
      <c r="N71" s="49">
        <f>IF(ISNUMBER(G71),VLOOKUP($B71,'Represented Populations'!$A$4:$I$157,4,FALSE),0)</f>
        <v>12250</v>
      </c>
      <c r="O71" s="49">
        <f>IF(ISNUMBER(H71),VLOOKUP($B71,'Represented Populations'!$A$4:$I$157,5,FALSE),0)</f>
        <v>12300</v>
      </c>
      <c r="P71" s="49">
        <f>IF(ISNUMBER(I71),VLOOKUP($B71,'Represented Populations'!$A$4:$I$157,6,FALSE),0)</f>
        <v>12400</v>
      </c>
      <c r="Q71" s="49">
        <f>IF(ISNUMBER(J71),VLOOKUP($B71,'Represented Populations'!$A$4:$I$157,7,FALSE),0)</f>
        <v>12600</v>
      </c>
      <c r="R71" s="42">
        <f>IF(ISNUMBER(K71),VLOOKUP($B71,'Represented Populations'!$A$4:$I$157,8,FALSE),0)</f>
        <v>12500</v>
      </c>
      <c r="T71" s="28"/>
      <c r="U71" s="28"/>
      <c r="V71" s="28"/>
      <c r="W71" s="28"/>
      <c r="X71" s="28"/>
      <c r="Y71" s="28"/>
      <c r="Z71" s="28"/>
      <c r="AA71" s="28"/>
      <c r="AB71" s="28"/>
    </row>
    <row r="72" spans="1:28" s="50" customFormat="1">
      <c r="A72" s="48" t="s">
        <v>122</v>
      </c>
      <c r="B72" s="43" t="s">
        <v>121</v>
      </c>
      <c r="C72" s="40" t="s">
        <v>251</v>
      </c>
      <c r="D72" s="81" t="s">
        <v>265</v>
      </c>
      <c r="E72" s="131">
        <f>VLOOKUP($A72,'Annual Mean'!$A$3:$L$83,6,FALSE)</f>
        <v>12.5</v>
      </c>
      <c r="F72" s="132">
        <f>VLOOKUP($A72,'Annual Mean'!$A$3:$L$83,7,FALSE)</f>
        <v>12.6</v>
      </c>
      <c r="G72" s="132">
        <f>VLOOKUP($A72,'Annual Mean'!$A$3:$L$83,8,FALSE)</f>
        <v>14.6</v>
      </c>
      <c r="H72" s="132">
        <f>VLOOKUP($A72,'Annual Mean'!$A$3:$L$83,9,FALSE)</f>
        <v>12.6</v>
      </c>
      <c r="I72" s="132">
        <f>VLOOKUP($A72,'Annual Mean'!$A$3:$L$83,10,FALSE)</f>
        <v>12.1</v>
      </c>
      <c r="J72" s="132">
        <f>VLOOKUP($A72,'Annual Mean'!$A$3:$L$83,11,FALSE)</f>
        <v>12</v>
      </c>
      <c r="K72" s="132">
        <f>VLOOKUP($A72,'Annual Mean'!$A$3:$L$83,12,FALSE)</f>
        <v>11.4</v>
      </c>
      <c r="L72" s="100">
        <f>IF(ISNUMBER(E72),VLOOKUP($B72,'Represented Populations'!$A$4:$I$157,2,FALSE)/COUNT(E$72:E$73),0)</f>
        <v>7110</v>
      </c>
      <c r="M72" s="49">
        <f>IF(ISNUMBER(F72),VLOOKUP($B72,'Represented Populations'!$A$4:$I$157,3,FALSE)/COUNT(F$72:F$73),0)</f>
        <v>3530</v>
      </c>
      <c r="N72" s="49">
        <f>IF(ISNUMBER(G72),VLOOKUP($B72,'Represented Populations'!$A$4:$I$157,4,FALSE)/COUNT(G$72:G$73),0)</f>
        <v>3520</v>
      </c>
      <c r="O72" s="49">
        <f>IF(ISNUMBER(H72),VLOOKUP($B72,'Represented Populations'!$A$4:$I$157,5,FALSE)/COUNT(H$72:H$73),0)</f>
        <v>3510</v>
      </c>
      <c r="P72" s="49">
        <f>IF(ISNUMBER(I72),VLOOKUP($B72,'Represented Populations'!$A$4:$I$157,6,FALSE)/COUNT(I$72:I$73),0)</f>
        <v>3520</v>
      </c>
      <c r="Q72" s="49">
        <f>IF(ISNUMBER(J72),VLOOKUP($B72,'Represented Populations'!$A$4:$I$157,7,FALSE)/COUNT(J$72:J$73),0)</f>
        <v>3515</v>
      </c>
      <c r="R72" s="42">
        <f>IF(ISNUMBER(K72),VLOOKUP($B72,'Represented Populations'!$A$4:$I$157,8,FALSE)/COUNT(K$72:K$73),0)</f>
        <v>7010</v>
      </c>
      <c r="T72" s="28"/>
      <c r="U72" s="28"/>
      <c r="V72" s="28"/>
      <c r="W72" s="28"/>
      <c r="X72" s="28"/>
      <c r="Y72" s="28"/>
      <c r="Z72" s="28"/>
      <c r="AA72" s="28"/>
      <c r="AB72" s="28"/>
    </row>
    <row r="73" spans="1:28" s="50" customFormat="1">
      <c r="A73" s="48" t="s">
        <v>123</v>
      </c>
      <c r="B73" s="43" t="s">
        <v>121</v>
      </c>
      <c r="C73" s="40" t="s">
        <v>251</v>
      </c>
      <c r="D73" s="81" t="s">
        <v>265</v>
      </c>
      <c r="E73" s="131"/>
      <c r="F73" s="132">
        <f>VLOOKUP($A73,'Annual Mean'!$A$3:$L$83,7,FALSE)</f>
        <v>14.7</v>
      </c>
      <c r="G73" s="132">
        <f>VLOOKUP($A73,'Annual Mean'!$A$3:$L$83,8,FALSE)</f>
        <v>15.5</v>
      </c>
      <c r="H73" s="132">
        <f>VLOOKUP($A73,'Annual Mean'!$A$3:$L$83,9,FALSE)</f>
        <v>14.9</v>
      </c>
      <c r="I73" s="132">
        <f>VLOOKUP($A73,'Annual Mean'!$A$3:$L$83,10,FALSE)</f>
        <v>13.4</v>
      </c>
      <c r="J73" s="132">
        <f>VLOOKUP($A73,'Annual Mean'!$A$3:$L$83,11,FALSE)</f>
        <v>12.7</v>
      </c>
      <c r="K73" s="132"/>
      <c r="L73" s="100">
        <f>IF(ISNUMBER(E73),VLOOKUP($B73,'Represented Populations'!$A$4:$I$157,2,FALSE)/COUNT(E$72:E$73),0)</f>
        <v>0</v>
      </c>
      <c r="M73" s="49">
        <f>IF(ISNUMBER(F73),VLOOKUP($B73,'Represented Populations'!$A$4:$I$157,3,FALSE)/COUNT(F$72:F$73),0)</f>
        <v>3530</v>
      </c>
      <c r="N73" s="49">
        <f>IF(ISNUMBER(G73),VLOOKUP($B73,'Represented Populations'!$A$4:$I$157,4,FALSE)/COUNT(G$72:G$73),0)</f>
        <v>3520</v>
      </c>
      <c r="O73" s="49">
        <f>IF(ISNUMBER(H73),VLOOKUP($B73,'Represented Populations'!$A$4:$I$157,5,FALSE)/COUNT(H$72:H$73),0)</f>
        <v>3510</v>
      </c>
      <c r="P73" s="49">
        <f>IF(ISNUMBER(I73),VLOOKUP($B73,'Represented Populations'!$A$4:$I$157,6,FALSE)/COUNT(I$72:I$73),0)</f>
        <v>3520</v>
      </c>
      <c r="Q73" s="49">
        <f>IF(ISNUMBER(J73),VLOOKUP($B73,'Represented Populations'!$A$4:$I$157,7,FALSE)/COUNT(J$72:J$73),0)</f>
        <v>3515</v>
      </c>
      <c r="R73" s="42">
        <f>IF(ISNUMBER(K73),VLOOKUP($B73,'Represented Populations'!$A$4:$I$157,8,FALSE)/COUNT(K$72:K$73),0)</f>
        <v>0</v>
      </c>
      <c r="T73" s="28"/>
      <c r="U73" s="28"/>
      <c r="V73" s="28"/>
      <c r="W73" s="28"/>
      <c r="X73" s="28"/>
      <c r="Y73" s="28"/>
      <c r="Z73" s="28"/>
      <c r="AA73" s="28"/>
      <c r="AB73" s="28"/>
    </row>
    <row r="74" spans="1:28" s="50" customFormat="1">
      <c r="A74" s="48" t="s">
        <v>27</v>
      </c>
      <c r="B74" s="75" t="s">
        <v>27</v>
      </c>
      <c r="C74" s="40" t="s">
        <v>251</v>
      </c>
      <c r="D74" s="81" t="s">
        <v>265</v>
      </c>
      <c r="E74" s="131">
        <f>VLOOKUP($A74,'Annual Mean'!$A$3:$L$83,6,FALSE)</f>
        <v>13.1</v>
      </c>
      <c r="F74" s="132">
        <f>VLOOKUP($A74,'Annual Mean'!$A$3:$L$83,7,FALSE)</f>
        <v>12.6</v>
      </c>
      <c r="G74" s="132">
        <f>VLOOKUP($A74,'Annual Mean'!$A$3:$L$83,8,FALSE)</f>
        <v>15.2</v>
      </c>
      <c r="H74" s="132">
        <f>VLOOKUP($A74,'Annual Mean'!$A$3:$L$83,9,FALSE)</f>
        <v>12.9</v>
      </c>
      <c r="I74" s="132">
        <f>VLOOKUP($A74,'Annual Mean'!$A$3:$L$83,10,FALSE)</f>
        <v>12.7</v>
      </c>
      <c r="J74" s="132">
        <f>VLOOKUP($A74,'Annual Mean'!$A$3:$L$83,11,FALSE)</f>
        <v>12</v>
      </c>
      <c r="K74" s="132">
        <f>VLOOKUP($A74,'Annual Mean'!$A$3:$L$83,12,FALSE)</f>
        <v>12.5</v>
      </c>
      <c r="L74" s="100">
        <f>IF(ISNUMBER(E74),VLOOKUP($B74,'Represented Populations'!$A$4:$I$157,2,FALSE),0)</f>
        <v>6440</v>
      </c>
      <c r="M74" s="49">
        <f>IF(ISNUMBER(F74),VLOOKUP($B74,'Represented Populations'!$A$4:$I$157,3,FALSE),0)</f>
        <v>6450</v>
      </c>
      <c r="N74" s="49">
        <f>IF(ISNUMBER(G74),VLOOKUP($B74,'Represented Populations'!$A$4:$I$157,4,FALSE),0)</f>
        <v>6550</v>
      </c>
      <c r="O74" s="49">
        <f>IF(ISNUMBER(H74),VLOOKUP($B74,'Represented Populations'!$A$4:$I$157,5,FALSE),0)</f>
        <v>6630</v>
      </c>
      <c r="P74" s="49">
        <f>IF(ISNUMBER(I74),VLOOKUP($B74,'Represented Populations'!$A$4:$I$157,6,FALSE),0)</f>
        <v>6710</v>
      </c>
      <c r="Q74" s="49">
        <f>IF(ISNUMBER(J74),VLOOKUP($B74,'Represented Populations'!$A$4:$I$157,7,FALSE),0)</f>
        <v>6780</v>
      </c>
      <c r="R74" s="42">
        <f>IF(ISNUMBER(K74),VLOOKUP($B74,'Represented Populations'!$A$4:$I$157,8,FALSE),0)</f>
        <v>7010</v>
      </c>
      <c r="T74" s="28"/>
      <c r="U74" s="28"/>
      <c r="V74" s="28"/>
      <c r="W74" s="28"/>
      <c r="X74" s="28"/>
      <c r="Y74" s="28"/>
      <c r="Z74" s="28"/>
      <c r="AA74" s="28"/>
      <c r="AB74" s="28"/>
    </row>
    <row r="75" spans="1:28" s="50" customFormat="1">
      <c r="A75" s="84" t="s">
        <v>28</v>
      </c>
      <c r="B75" s="76" t="s">
        <v>28</v>
      </c>
      <c r="C75" s="40" t="s">
        <v>251</v>
      </c>
      <c r="D75" s="81" t="s">
        <v>265</v>
      </c>
      <c r="E75" s="131"/>
      <c r="F75" s="132"/>
      <c r="G75" s="132">
        <f>VLOOKUP($A75,'Annual Mean'!$A$3:$L$83,8,FALSE)</f>
        <v>14.6</v>
      </c>
      <c r="H75" s="132">
        <f>VLOOKUP($A75,'Annual Mean'!$A$3:$L$83,9,FALSE)</f>
        <v>13.3</v>
      </c>
      <c r="I75" s="132">
        <f>VLOOKUP($A75,'Annual Mean'!$A$3:$L$83,10,FALSE)</f>
        <v>13.1</v>
      </c>
      <c r="J75" s="132">
        <f>VLOOKUP($A75,'Annual Mean'!$A$3:$L$83,11,FALSE)</f>
        <v>13</v>
      </c>
      <c r="K75" s="132">
        <f>VLOOKUP($A75,'Annual Mean'!$A$3:$L$83,12,FALSE)</f>
        <v>13.1</v>
      </c>
      <c r="L75" s="100">
        <f>IF(ISNUMBER(E75),VLOOKUP($B75,'Represented Populations'!$A$4:$I$157,2,FALSE),0)</f>
        <v>0</v>
      </c>
      <c r="M75" s="49">
        <f>IF(ISNUMBER(F75),VLOOKUP($B75,'Represented Populations'!$A$4:$I$157,3,FALSE),0)</f>
        <v>0</v>
      </c>
      <c r="N75" s="49">
        <f>IF(ISNUMBER(G75),VLOOKUP($B75,'Represented Populations'!$A$4:$I$157,4,FALSE),0)</f>
        <v>5280</v>
      </c>
      <c r="O75" s="49">
        <f>IF(ISNUMBER(H75),VLOOKUP($B75,'Represented Populations'!$A$4:$I$157,5,FALSE),0)</f>
        <v>5250</v>
      </c>
      <c r="P75" s="49">
        <f>IF(ISNUMBER(I75),VLOOKUP($B75,'Represented Populations'!$A$4:$I$157,6,FALSE),0)</f>
        <v>5290</v>
      </c>
      <c r="Q75" s="49">
        <f>IF(ISNUMBER(J75),VLOOKUP($B75,'Represented Populations'!$A$4:$I$157,7,FALSE),0)</f>
        <v>5320</v>
      </c>
      <c r="R75" s="42">
        <f>IF(ISNUMBER(K75),VLOOKUP($B75,'Represented Populations'!$A$4:$I$157,8,FALSE),0)</f>
        <v>5390</v>
      </c>
      <c r="T75" s="28"/>
      <c r="U75" s="28"/>
      <c r="V75" s="28"/>
      <c r="W75" s="28"/>
      <c r="X75" s="28"/>
      <c r="Y75" s="28"/>
      <c r="Z75" s="28"/>
      <c r="AA75" s="28"/>
      <c r="AB75" s="28"/>
    </row>
    <row r="76" spans="1:28" s="50" customFormat="1">
      <c r="A76" s="85" t="s">
        <v>32</v>
      </c>
      <c r="B76" s="75" t="s">
        <v>32</v>
      </c>
      <c r="C76" s="40" t="s">
        <v>251</v>
      </c>
      <c r="D76" s="81" t="s">
        <v>265</v>
      </c>
      <c r="E76" s="131"/>
      <c r="F76" s="132">
        <f>VLOOKUP($A76,'Annual Mean'!$A$3:$L$83,7,FALSE)</f>
        <v>15.1</v>
      </c>
      <c r="G76" s="132">
        <f>VLOOKUP($A76,'Annual Mean'!$A$3:$L$83,8,FALSE)</f>
        <v>17</v>
      </c>
      <c r="H76" s="132">
        <f>VLOOKUP($A76,'Annual Mean'!$A$3:$L$83,9,FALSE)</f>
        <v>14.4</v>
      </c>
      <c r="I76" s="132">
        <f>VLOOKUP($A76,'Annual Mean'!$A$3:$L$83,10,FALSE)</f>
        <v>14.2</v>
      </c>
      <c r="J76" s="132">
        <f>VLOOKUP($A76,'Annual Mean'!$A$3:$L$83,11,FALSE)</f>
        <v>13</v>
      </c>
      <c r="K76" s="132">
        <f>VLOOKUP($A76,'Annual Mean'!$A$3:$L$83,12,FALSE)</f>
        <v>11.9</v>
      </c>
      <c r="L76" s="100">
        <f>IF(ISNUMBER(E76),VLOOKUP($B76,'Represented Populations'!$A$4:$I$157,2,FALSE),0)</f>
        <v>0</v>
      </c>
      <c r="M76" s="49">
        <f>IF(ISNUMBER(F76),VLOOKUP($B76,'Represented Populations'!$A$4:$I$157,3,FALSE),0)</f>
        <v>3860</v>
      </c>
      <c r="N76" s="49">
        <f>IF(ISNUMBER(G76),VLOOKUP($B76,'Represented Populations'!$A$4:$I$157,4,FALSE),0)</f>
        <v>3860</v>
      </c>
      <c r="O76" s="49">
        <f>IF(ISNUMBER(H76),VLOOKUP($B76,'Represented Populations'!$A$4:$I$157,5,FALSE),0)</f>
        <v>3850</v>
      </c>
      <c r="P76" s="49">
        <f>IF(ISNUMBER(I76),VLOOKUP($B76,'Represented Populations'!$A$4:$I$157,6,FALSE),0)</f>
        <v>3860</v>
      </c>
      <c r="Q76" s="49">
        <f>IF(ISNUMBER(J76),VLOOKUP($B76,'Represented Populations'!$A$4:$I$157,7,FALSE),0)</f>
        <v>3850</v>
      </c>
      <c r="R76" s="42">
        <f>IF(ISNUMBER(K76),VLOOKUP($B76,'Represented Populations'!$A$4:$I$157,8,FALSE),0)</f>
        <v>3760</v>
      </c>
      <c r="T76" s="28"/>
      <c r="U76" s="28"/>
      <c r="V76" s="28"/>
      <c r="W76" s="28"/>
      <c r="X76" s="28"/>
      <c r="Y76" s="28"/>
      <c r="Z76" s="28"/>
      <c r="AA76" s="28"/>
      <c r="AB76" s="28"/>
    </row>
    <row r="77" spans="1:28" s="50" customFormat="1">
      <c r="A77" s="83" t="s">
        <v>33</v>
      </c>
      <c r="B77" s="75" t="s">
        <v>33</v>
      </c>
      <c r="C77" s="40" t="s">
        <v>251</v>
      </c>
      <c r="D77" s="81" t="s">
        <v>265</v>
      </c>
      <c r="E77" s="131">
        <f>VLOOKUP($A77,'Annual Mean'!$A$3:$L$83,6,FALSE)</f>
        <v>20.399999999999999</v>
      </c>
      <c r="F77" s="132">
        <f>VLOOKUP($A77,'Annual Mean'!$A$3:$L$83,7,FALSE)</f>
        <v>15.4</v>
      </c>
      <c r="G77" s="132">
        <f>VLOOKUP($A77,'Annual Mean'!$A$3:$L$83,8,FALSE)</f>
        <v>16.7</v>
      </c>
      <c r="H77" s="132">
        <f>VLOOKUP($A77,'Annual Mean'!$A$3:$L$83,9,FALSE)</f>
        <v>14.7</v>
      </c>
      <c r="I77" s="132">
        <f>VLOOKUP($A77,'Annual Mean'!$A$3:$L$83,10,FALSE)</f>
        <v>14.3</v>
      </c>
      <c r="J77" s="132">
        <f>VLOOKUP($A77,'Annual Mean'!$A$3:$L$83,11,FALSE)</f>
        <v>15</v>
      </c>
      <c r="K77" s="132">
        <f>VLOOKUP($A77,'Annual Mean'!$A$3:$L$83,12,FALSE)</f>
        <v>12.9</v>
      </c>
      <c r="L77" s="100">
        <f>IF(ISNUMBER(E77),VLOOKUP($B77,'Represented Populations'!$A$4:$I$157,2,FALSE),0)</f>
        <v>17550</v>
      </c>
      <c r="M77" s="49">
        <f>IF(ISNUMBER(F77),VLOOKUP($B77,'Represented Populations'!$A$4:$I$157,3,FALSE),0)</f>
        <v>17450</v>
      </c>
      <c r="N77" s="49">
        <f>IF(ISNUMBER(G77),VLOOKUP($B77,'Represented Populations'!$A$4:$I$157,4,FALSE),0)</f>
        <v>17350</v>
      </c>
      <c r="O77" s="49">
        <f>IF(ISNUMBER(H77),VLOOKUP($B77,'Represented Populations'!$A$4:$I$157,5,FALSE),0)</f>
        <v>17350</v>
      </c>
      <c r="P77" s="49">
        <f>IF(ISNUMBER(I77),VLOOKUP($B77,'Represented Populations'!$A$4:$I$157,6,FALSE),0)</f>
        <v>17450</v>
      </c>
      <c r="Q77" s="49">
        <f>IF(ISNUMBER(J77),VLOOKUP($B77,'Represented Populations'!$A$4:$I$157,7,FALSE),0)</f>
        <v>17400</v>
      </c>
      <c r="R77" s="42">
        <f>IF(ISNUMBER(K77),VLOOKUP($B77,'Represented Populations'!$A$4:$I$157,8,FALSE),0)</f>
        <v>17500</v>
      </c>
      <c r="T77" s="28"/>
      <c r="U77" s="28"/>
      <c r="V77" s="28"/>
      <c r="W77" s="28"/>
      <c r="X77" s="28"/>
      <c r="Y77" s="28"/>
      <c r="Z77" s="28"/>
      <c r="AA77" s="28"/>
      <c r="AB77" s="28"/>
    </row>
    <row r="78" spans="1:28" s="50" customFormat="1">
      <c r="A78" s="48" t="s">
        <v>34</v>
      </c>
      <c r="B78" s="75" t="s">
        <v>34</v>
      </c>
      <c r="C78" s="40" t="s">
        <v>251</v>
      </c>
      <c r="D78" s="81" t="s">
        <v>265</v>
      </c>
      <c r="E78" s="131">
        <f>VLOOKUP($A78,'Annual Mean'!$A$3:$L$83,6,FALSE)</f>
        <v>17.7</v>
      </c>
      <c r="F78" s="132">
        <f>VLOOKUP($A78,'Annual Mean'!$A$3:$L$83,7,FALSE)</f>
        <v>17.899999999999999</v>
      </c>
      <c r="G78" s="132">
        <f>VLOOKUP($A78,'Annual Mean'!$A$3:$L$83,8,FALSE)</f>
        <v>18.2</v>
      </c>
      <c r="H78" s="132">
        <f>VLOOKUP($A78,'Annual Mean'!$A$3:$L$83,9,FALSE)</f>
        <v>16.8</v>
      </c>
      <c r="I78" s="132">
        <f>VLOOKUP($A78,'Annual Mean'!$A$3:$L$83,10,FALSE)</f>
        <v>16.100000000000001</v>
      </c>
      <c r="J78" s="132">
        <f>VLOOKUP($A78,'Annual Mean'!$A$3:$L$83,11,FALSE)</f>
        <v>15</v>
      </c>
      <c r="K78" s="132">
        <f>VLOOKUP($A78,'Annual Mean'!$A$3:$L$83,12,FALSE)</f>
        <v>16.399999999999999</v>
      </c>
      <c r="L78" s="100">
        <f>IF(ISNUMBER(E78),VLOOKUP($B78,'Represented Populations'!$A$4:$I$157,2,FALSE),0)</f>
        <v>4540</v>
      </c>
      <c r="M78" s="49">
        <f>IF(ISNUMBER(F78),VLOOKUP($B78,'Represented Populations'!$A$4:$I$157,3,FALSE),0)</f>
        <v>4510</v>
      </c>
      <c r="N78" s="49">
        <f>IF(ISNUMBER(G78),VLOOKUP($B78,'Represented Populations'!$A$4:$I$157,4,FALSE),0)</f>
        <v>4520</v>
      </c>
      <c r="O78" s="49">
        <f>IF(ISNUMBER(H78),VLOOKUP($B78,'Represented Populations'!$A$4:$I$157,5,FALSE),0)</f>
        <v>4540</v>
      </c>
      <c r="P78" s="49">
        <f>IF(ISNUMBER(I78),VLOOKUP($B78,'Represented Populations'!$A$4:$I$157,6,FALSE),0)</f>
        <v>4550</v>
      </c>
      <c r="Q78" s="49">
        <f>IF(ISNUMBER(J78),VLOOKUP($B78,'Represented Populations'!$A$4:$I$157,7,FALSE),0)</f>
        <v>4540</v>
      </c>
      <c r="R78" s="42">
        <f>IF(ISNUMBER(K78),VLOOKUP($B78,'Represented Populations'!$A$4:$I$157,8,FALSE),0)</f>
        <v>4570</v>
      </c>
      <c r="T78" s="28"/>
      <c r="U78" s="28"/>
      <c r="V78" s="28"/>
      <c r="W78" s="28"/>
      <c r="X78" s="28"/>
      <c r="Y78" s="28"/>
      <c r="Z78" s="28"/>
      <c r="AA78" s="28"/>
      <c r="AB78" s="28"/>
    </row>
    <row r="79" spans="1:28" s="50" customFormat="1">
      <c r="A79" s="48" t="s">
        <v>35</v>
      </c>
      <c r="B79" s="75" t="s">
        <v>35</v>
      </c>
      <c r="C79" s="40" t="s">
        <v>251</v>
      </c>
      <c r="D79" s="81" t="s">
        <v>265</v>
      </c>
      <c r="E79" s="131">
        <f>VLOOKUP($A79,'Annual Mean'!$A$3:$L$83,6,FALSE)</f>
        <v>18.600000000000001</v>
      </c>
      <c r="F79" s="132">
        <f>VLOOKUP($A79,'Annual Mean'!$A$3:$L$83,7,FALSE)</f>
        <v>16.3</v>
      </c>
      <c r="G79" s="132">
        <f>VLOOKUP($A79,'Annual Mean'!$A$3:$L$83,8,FALSE)</f>
        <v>16.5</v>
      </c>
      <c r="H79" s="132">
        <f>VLOOKUP($A79,'Annual Mean'!$A$3:$L$83,9,FALSE)</f>
        <v>17.600000000000001</v>
      </c>
      <c r="I79" s="132">
        <f>VLOOKUP($A79,'Annual Mean'!$A$3:$L$83,10,FALSE)</f>
        <v>18</v>
      </c>
      <c r="J79" s="132">
        <f>VLOOKUP($A79,'Annual Mean'!$A$3:$L$83,11,FALSE)</f>
        <v>18</v>
      </c>
      <c r="K79" s="132">
        <f>VLOOKUP($A79,'Annual Mean'!$A$3:$L$83,12,FALSE)</f>
        <v>17.2</v>
      </c>
      <c r="L79" s="100">
        <f>IF(ISNUMBER(E79),VLOOKUP($B79,'Represented Populations'!$A$4:$I$157,2,FALSE),0)</f>
        <v>13300</v>
      </c>
      <c r="M79" s="49">
        <f>IF(ISNUMBER(F79),VLOOKUP($B79,'Represented Populations'!$A$4:$I$157,3,FALSE),0)</f>
        <v>13050</v>
      </c>
      <c r="N79" s="49">
        <f>IF(ISNUMBER(G79),VLOOKUP($B79,'Represented Populations'!$A$4:$I$157,4,FALSE),0)</f>
        <v>12900</v>
      </c>
      <c r="O79" s="49">
        <f>IF(ISNUMBER(H79),VLOOKUP($B79,'Represented Populations'!$A$4:$I$157,5,FALSE),0)</f>
        <v>12850</v>
      </c>
      <c r="P79" s="49">
        <f>IF(ISNUMBER(I79),VLOOKUP($B79,'Represented Populations'!$A$4:$I$157,6,FALSE),0)</f>
        <v>12800</v>
      </c>
      <c r="Q79" s="49">
        <f>IF(ISNUMBER(J79),VLOOKUP($B79,'Represented Populations'!$A$4:$I$157,7,FALSE),0)</f>
        <v>12700</v>
      </c>
      <c r="R79" s="42">
        <f>IF(ISNUMBER(K79),VLOOKUP($B79,'Represented Populations'!$A$4:$I$157,8,FALSE),0)</f>
        <v>12700</v>
      </c>
      <c r="T79" s="28"/>
      <c r="U79" s="28"/>
      <c r="V79" s="28"/>
      <c r="W79" s="28"/>
      <c r="X79" s="28"/>
      <c r="Y79" s="28"/>
      <c r="Z79" s="28"/>
      <c r="AA79" s="28"/>
      <c r="AB79" s="28"/>
    </row>
    <row r="80" spans="1:28" s="50" customFormat="1">
      <c r="A80" s="48" t="s">
        <v>36</v>
      </c>
      <c r="B80" s="77" t="s">
        <v>36</v>
      </c>
      <c r="C80" s="40" t="s">
        <v>251</v>
      </c>
      <c r="D80" s="81" t="s">
        <v>265</v>
      </c>
      <c r="E80" s="131"/>
      <c r="F80" s="132"/>
      <c r="G80" s="132"/>
      <c r="H80" s="132">
        <f>VLOOKUP($A80,'Annual Mean'!$A$3:$L$83,9,FALSE)</f>
        <v>9.8000000000000007</v>
      </c>
      <c r="I80" s="132">
        <f>VLOOKUP($A80,'Annual Mean'!$A$3:$L$83,10,FALSE)</f>
        <v>10.8</v>
      </c>
      <c r="J80" s="132">
        <f>VLOOKUP($A80,'Annual Mean'!$A$3:$L$83,11,FALSE)</f>
        <v>10</v>
      </c>
      <c r="K80" s="132">
        <f>VLOOKUP($A80,'Annual Mean'!$A$3:$L$83,12,FALSE)</f>
        <v>10</v>
      </c>
      <c r="L80" s="100">
        <f>IF(ISNUMBER(E80),VLOOKUP($B80,'Represented Populations'!$A$4:$I$157,2,FALSE),0)</f>
        <v>0</v>
      </c>
      <c r="M80" s="49">
        <f>IF(ISNUMBER(F80),VLOOKUP($B80,'Represented Populations'!$A$4:$I$157,3,FALSE),0)</f>
        <v>0</v>
      </c>
      <c r="N80" s="49">
        <f>IF(ISNUMBER(G80),VLOOKUP($B80,'Represented Populations'!$A$4:$I$157,4,FALSE),0)</f>
        <v>0</v>
      </c>
      <c r="O80" s="49">
        <f>IF(ISNUMBER(H80),VLOOKUP($B80,'Represented Populations'!$A$4:$I$157,5,FALSE),0)</f>
        <v>3250</v>
      </c>
      <c r="P80" s="49">
        <f>IF(ISNUMBER(I80),VLOOKUP($B80,'Represented Populations'!$A$4:$I$157,6,FALSE),0)</f>
        <v>3240</v>
      </c>
      <c r="Q80" s="49">
        <f>IF(ISNUMBER(J80),VLOOKUP($B80,'Represented Populations'!$A$4:$I$157,7,FALSE),0)</f>
        <v>3210</v>
      </c>
      <c r="R80" s="42">
        <f>IF(ISNUMBER(K80),VLOOKUP($B80,'Represented Populations'!$A$4:$I$157,8,FALSE),0)</f>
        <v>3200</v>
      </c>
      <c r="T80" s="28"/>
      <c r="U80" s="28"/>
      <c r="V80" s="28"/>
      <c r="W80" s="28"/>
      <c r="X80" s="28"/>
      <c r="Y80" s="28"/>
      <c r="Z80" s="28"/>
      <c r="AA80" s="28"/>
      <c r="AB80" s="28"/>
    </row>
    <row r="81" spans="1:28" s="50" customFormat="1">
      <c r="A81" s="48" t="s">
        <v>37</v>
      </c>
      <c r="B81" s="77" t="s">
        <v>37</v>
      </c>
      <c r="C81" s="40" t="s">
        <v>251</v>
      </c>
      <c r="D81" s="81" t="s">
        <v>265</v>
      </c>
      <c r="E81" s="131"/>
      <c r="F81" s="132"/>
      <c r="G81" s="132">
        <f>VLOOKUP($A81,'Annual Mean'!$A$3:$L$83,8,FALSE)</f>
        <v>11.8</v>
      </c>
      <c r="H81" s="132">
        <f>VLOOKUP($A81,'Annual Mean'!$A$3:$L$83,9,FALSE)</f>
        <v>12.1</v>
      </c>
      <c r="I81" s="132">
        <f>VLOOKUP($A81,'Annual Mean'!$A$3:$L$83,10,FALSE)</f>
        <v>12.3</v>
      </c>
      <c r="J81" s="132">
        <f>VLOOKUP($A81,'Annual Mean'!$A$3:$L$83,11,FALSE)</f>
        <v>13</v>
      </c>
      <c r="K81" s="132"/>
      <c r="L81" s="100">
        <f>IF(ISNUMBER(E81),VLOOKUP($B81,'Represented Populations'!$A$4:$I$157,2,FALSE),0)</f>
        <v>0</v>
      </c>
      <c r="M81" s="49">
        <f>IF(ISNUMBER(F81),VLOOKUP($B81,'Represented Populations'!$A$4:$I$157,3,FALSE),0)</f>
        <v>0</v>
      </c>
      <c r="N81" s="49">
        <f>IF(ISNUMBER(G81),VLOOKUP($B81,'Represented Populations'!$A$4:$I$157,4,FALSE),0)</f>
        <v>4590</v>
      </c>
      <c r="O81" s="49">
        <f>IF(ISNUMBER(H81),VLOOKUP($B81,'Represented Populations'!$A$4:$I$157,5,FALSE),0)</f>
        <v>4590</v>
      </c>
      <c r="P81" s="49">
        <f>IF(ISNUMBER(I81),VLOOKUP($B81,'Represented Populations'!$A$4:$I$157,6,FALSE),0)</f>
        <v>4610</v>
      </c>
      <c r="Q81" s="49">
        <f>IF(ISNUMBER(J81),VLOOKUP($B81,'Represented Populations'!$A$4:$I$157,7,FALSE),0)</f>
        <v>4640</v>
      </c>
      <c r="R81" s="42">
        <f>IF(ISNUMBER(K81),VLOOKUP($B81,'Represented Populations'!$A$4:$I$157,8,FALSE),0)</f>
        <v>0</v>
      </c>
      <c r="T81" s="28"/>
      <c r="U81" s="28"/>
      <c r="V81" s="28"/>
      <c r="W81" s="28"/>
      <c r="X81" s="28"/>
      <c r="Y81" s="28"/>
      <c r="Z81" s="28"/>
      <c r="AA81" s="28"/>
      <c r="AB81" s="28"/>
    </row>
    <row r="82" spans="1:28" s="50" customFormat="1">
      <c r="A82" s="48" t="s">
        <v>76</v>
      </c>
      <c r="B82" s="73" t="s">
        <v>76</v>
      </c>
      <c r="C82" s="40" t="s">
        <v>251</v>
      </c>
      <c r="D82" s="81" t="s">
        <v>266</v>
      </c>
      <c r="E82" s="131"/>
      <c r="F82" s="132">
        <f>VLOOKUP($A82,'Annual Mean'!$A$3:$L$83,7,FALSE)</f>
        <v>21.7</v>
      </c>
      <c r="G82" s="132">
        <f>VLOOKUP($A82,'Annual Mean'!$A$3:$L$83,8,FALSE)</f>
        <v>21.7</v>
      </c>
      <c r="H82" s="132">
        <f>VLOOKUP($A82,'Annual Mean'!$A$3:$L$83,9,FALSE)</f>
        <v>20.2</v>
      </c>
      <c r="I82" s="132">
        <f>VLOOKUP($A82,'Annual Mean'!$A$3:$L$83,10,FALSE)</f>
        <v>23.5</v>
      </c>
      <c r="J82" s="132">
        <f>VLOOKUP($A82,'Annual Mean'!$A$3:$L$83,11,FALSE)</f>
        <v>18.5</v>
      </c>
      <c r="K82" s="132"/>
      <c r="L82" s="100">
        <f>IF(ISNUMBER(E82),VLOOKUP($B82,'Represented Populations'!$A$4:$I$157,2,FALSE),0)</f>
        <v>0</v>
      </c>
      <c r="M82" s="49">
        <f>IF(ISNUMBER(F82),VLOOKUP($B82,'Represented Populations'!$A$4:$I$157,3,FALSE),0)</f>
        <v>980</v>
      </c>
      <c r="N82" s="49">
        <f>IF(ISNUMBER(G82),VLOOKUP($B82,'Represented Populations'!$A$4:$I$157,4,FALSE),0)</f>
        <v>980</v>
      </c>
      <c r="O82" s="49">
        <f>IF(ISNUMBER(H82),VLOOKUP($B82,'Represented Populations'!$A$4:$I$157,5,FALSE),0)</f>
        <v>970</v>
      </c>
      <c r="P82" s="49">
        <f>IF(ISNUMBER(I82),VLOOKUP($B82,'Represented Populations'!$A$4:$I$157,6,FALSE),0)</f>
        <v>970</v>
      </c>
      <c r="Q82" s="49">
        <f>IF(ISNUMBER(J82),VLOOKUP($B82,'Represented Populations'!$A$4:$I$157,7,FALSE),0)</f>
        <v>970</v>
      </c>
      <c r="R82" s="42">
        <f>IF(ISNUMBER(K82),VLOOKUP($B82,'Represented Populations'!$A$4:$I$157,8,FALSE),0)</f>
        <v>0</v>
      </c>
      <c r="T82" s="28"/>
      <c r="U82" s="28"/>
      <c r="V82" s="28"/>
      <c r="W82" s="28"/>
      <c r="X82" s="28"/>
      <c r="Y82" s="28"/>
      <c r="Z82" s="28"/>
      <c r="AA82" s="28"/>
      <c r="AB82" s="28"/>
    </row>
    <row r="83" spans="1:28" s="50" customFormat="1">
      <c r="A83" s="48" t="s">
        <v>85</v>
      </c>
      <c r="B83" s="72" t="s">
        <v>84</v>
      </c>
      <c r="C83" s="40" t="s">
        <v>251</v>
      </c>
      <c r="D83" s="81" t="s">
        <v>265</v>
      </c>
      <c r="E83" s="131">
        <f>VLOOKUP($A83,'Annual Mean'!$A$3:$L$83,6,FALSE)</f>
        <v>12</v>
      </c>
      <c r="F83" s="132">
        <f>VLOOKUP($A83,'Annual Mean'!$A$3:$L$83,7,FALSE)</f>
        <v>12.2</v>
      </c>
      <c r="G83" s="132">
        <f>VLOOKUP($A83,'Annual Mean'!$A$3:$L$83,8,FALSE)</f>
        <v>13</v>
      </c>
      <c r="H83" s="132">
        <f>VLOOKUP($A83,'Annual Mean'!$A$3:$L$83,9,FALSE)</f>
        <v>11.5</v>
      </c>
      <c r="I83" s="132">
        <f>VLOOKUP($A83,'Annual Mean'!$A$3:$L$83,10,FALSE)</f>
        <v>11.4</v>
      </c>
      <c r="J83" s="132">
        <f>VLOOKUP($A83,'Annual Mean'!$A$3:$L$83,11,FALSE)</f>
        <v>11.2</v>
      </c>
      <c r="K83" s="132">
        <f>VLOOKUP($A83,'Annual Mean'!$A$3:$L$83,12,FALSE)</f>
        <v>11</v>
      </c>
      <c r="L83" s="100">
        <v>0</v>
      </c>
      <c r="M83" s="49">
        <v>0</v>
      </c>
      <c r="N83" s="49">
        <v>0</v>
      </c>
      <c r="O83" s="49">
        <v>0</v>
      </c>
      <c r="P83" s="49">
        <v>0</v>
      </c>
      <c r="Q83" s="49">
        <v>0</v>
      </c>
      <c r="R83" s="42">
        <v>0</v>
      </c>
      <c r="T83" s="28"/>
      <c r="U83" s="28"/>
      <c r="V83" s="28"/>
      <c r="W83" s="28"/>
      <c r="X83" s="28"/>
      <c r="Y83" s="28"/>
      <c r="Z83" s="28"/>
      <c r="AA83" s="28"/>
      <c r="AB83" s="28"/>
    </row>
    <row r="84" spans="1:28" s="50" customFormat="1">
      <c r="A84" s="48" t="s">
        <v>93</v>
      </c>
      <c r="B84" s="72" t="s">
        <v>84</v>
      </c>
      <c r="C84" s="40" t="s">
        <v>251</v>
      </c>
      <c r="D84" s="81" t="s">
        <v>265</v>
      </c>
      <c r="E84" s="131"/>
      <c r="F84" s="132"/>
      <c r="G84" s="132"/>
      <c r="H84" s="132">
        <f>VLOOKUP($A84,'Annual Mean'!$A$3:$L$83,9,FALSE)</f>
        <v>11.4</v>
      </c>
      <c r="I84" s="132">
        <f>VLOOKUP($A84,'Annual Mean'!$A$3:$L$83,10,FALSE)</f>
        <v>10.6</v>
      </c>
      <c r="J84" s="132">
        <f>VLOOKUP($A84,'Annual Mean'!$A$3:$L$83,11,FALSE)</f>
        <v>11.3</v>
      </c>
      <c r="K84" s="132">
        <f>VLOOKUP($A84,'Annual Mean'!$A$3:$L$83,12,FALSE)</f>
        <v>11.3</v>
      </c>
      <c r="L84" s="100">
        <v>0</v>
      </c>
      <c r="M84" s="49">
        <v>0</v>
      </c>
      <c r="N84" s="49">
        <v>0</v>
      </c>
      <c r="O84" s="49">
        <v>0</v>
      </c>
      <c r="P84" s="49">
        <v>0</v>
      </c>
      <c r="Q84" s="49">
        <v>0</v>
      </c>
      <c r="R84" s="42">
        <v>0</v>
      </c>
      <c r="T84" s="28"/>
      <c r="U84" s="28"/>
      <c r="V84" s="28"/>
      <c r="W84" s="28"/>
      <c r="X84" s="28"/>
      <c r="Y84" s="28"/>
      <c r="Z84" s="28"/>
      <c r="AA84" s="28"/>
      <c r="AB84" s="28"/>
    </row>
    <row r="85" spans="1:28" s="50" customFormat="1">
      <c r="A85" s="48" t="s">
        <v>104</v>
      </c>
      <c r="B85" s="43" t="s">
        <v>84</v>
      </c>
      <c r="C85" s="40" t="s">
        <v>251</v>
      </c>
      <c r="D85" s="81" t="s">
        <v>265</v>
      </c>
      <c r="E85" s="131">
        <f>VLOOKUP($A85,'Annual Mean'!$A$3:$L$83,6,FALSE)</f>
        <v>9.1999999999999993</v>
      </c>
      <c r="F85" s="132">
        <f>VLOOKUP($A85,'Annual Mean'!$A$3:$L$83,7,FALSE)</f>
        <v>8.6999999999999993</v>
      </c>
      <c r="G85" s="132">
        <f>VLOOKUP($A85,'Annual Mean'!$A$3:$L$83,8,FALSE)</f>
        <v>8.6</v>
      </c>
      <c r="H85" s="132">
        <f>VLOOKUP($A85,'Annual Mean'!$A$3:$L$83,9,FALSE)</f>
        <v>6.9</v>
      </c>
      <c r="I85" s="132">
        <f>VLOOKUP($A85,'Annual Mean'!$A$3:$L$83,10,FALSE)</f>
        <v>9.1999999999999993</v>
      </c>
      <c r="J85" s="132">
        <f>VLOOKUP($A85,'Annual Mean'!$A$3:$L$83,11,FALSE)</f>
        <v>8</v>
      </c>
      <c r="K85" s="132">
        <f>VLOOKUP($A85,'Annual Mean'!$A$3:$L$83,12,FALSE)</f>
        <v>8</v>
      </c>
      <c r="L85" s="100">
        <v>0</v>
      </c>
      <c r="M85" s="49">
        <v>0</v>
      </c>
      <c r="N85" s="49">
        <v>0</v>
      </c>
      <c r="O85" s="49">
        <v>0</v>
      </c>
      <c r="P85" s="49">
        <v>0</v>
      </c>
      <c r="Q85" s="49">
        <v>0</v>
      </c>
      <c r="R85" s="42">
        <v>0</v>
      </c>
      <c r="T85" s="28"/>
      <c r="U85" s="28"/>
      <c r="V85" s="28"/>
      <c r="W85" s="28"/>
      <c r="X85" s="28"/>
      <c r="Y85" s="28"/>
      <c r="Z85" s="28"/>
      <c r="AA85" s="28"/>
      <c r="AB85" s="28"/>
    </row>
    <row r="86" spans="1:28" s="50" customFormat="1">
      <c r="A86" s="48" t="s">
        <v>124</v>
      </c>
      <c r="B86" s="74" t="s">
        <v>84</v>
      </c>
      <c r="C86" s="40" t="s">
        <v>251</v>
      </c>
      <c r="D86" s="81" t="s">
        <v>265</v>
      </c>
      <c r="E86" s="131">
        <f>VLOOKUP($A86,'Annual Mean'!$A$3:$L$83,6,FALSE)</f>
        <v>11</v>
      </c>
      <c r="F86" s="132">
        <f>VLOOKUP($A86,'Annual Mean'!$A$3:$L$83,7,FALSE)</f>
        <v>11.9</v>
      </c>
      <c r="G86" s="132">
        <f>VLOOKUP($A86,'Annual Mean'!$A$3:$L$83,8,FALSE)</f>
        <v>13.8</v>
      </c>
      <c r="H86" s="132">
        <f>VLOOKUP($A86,'Annual Mean'!$A$3:$L$83,9,FALSE)</f>
        <v>11.6</v>
      </c>
      <c r="I86" s="132">
        <f>VLOOKUP($A86,'Annual Mean'!$A$3:$L$83,10,FALSE)</f>
        <v>10.3</v>
      </c>
      <c r="J86" s="132">
        <f>VLOOKUP($A86,'Annual Mean'!$A$3:$L$83,11,FALSE)</f>
        <v>10.5</v>
      </c>
      <c r="K86" s="132"/>
      <c r="L86" s="100">
        <v>0</v>
      </c>
      <c r="M86" s="49">
        <v>0</v>
      </c>
      <c r="N86" s="49">
        <v>0</v>
      </c>
      <c r="O86" s="49">
        <v>0</v>
      </c>
      <c r="P86" s="49">
        <v>0</v>
      </c>
      <c r="Q86" s="49">
        <v>0</v>
      </c>
      <c r="R86" s="42">
        <v>0</v>
      </c>
      <c r="T86" s="28"/>
      <c r="U86" s="28"/>
      <c r="V86" s="28"/>
      <c r="W86" s="28"/>
      <c r="X86" s="28"/>
      <c r="Y86" s="28"/>
      <c r="Z86" s="28"/>
      <c r="AA86" s="28"/>
      <c r="AB86" s="28"/>
    </row>
    <row r="87" spans="1:28" s="50" customFormat="1" ht="15.75" thickBot="1">
      <c r="A87" s="86" t="s">
        <v>125</v>
      </c>
      <c r="B87" s="138" t="s">
        <v>84</v>
      </c>
      <c r="C87" s="139" t="s">
        <v>251</v>
      </c>
      <c r="D87" s="140" t="s">
        <v>265</v>
      </c>
      <c r="E87" s="141"/>
      <c r="F87" s="142">
        <f>VLOOKUP($A87,'Annual Mean'!$A$3:$L$83,7,FALSE)</f>
        <v>11</v>
      </c>
      <c r="G87" s="142">
        <f>VLOOKUP($A87,'Annual Mean'!$A$3:$L$83,8,FALSE)</f>
        <v>12.7</v>
      </c>
      <c r="H87" s="142">
        <f>VLOOKUP($A87,'Annual Mean'!$A$3:$L$83,9,FALSE)</f>
        <v>11</v>
      </c>
      <c r="I87" s="142">
        <f>VLOOKUP($A87,'Annual Mean'!$A$3:$L$83,10,FALSE)</f>
        <v>9.6999999999999993</v>
      </c>
      <c r="J87" s="142">
        <f>VLOOKUP($A87,'Annual Mean'!$A$3:$L$83,11,FALSE)</f>
        <v>10.5</v>
      </c>
      <c r="K87" s="142"/>
      <c r="L87" s="133">
        <v>0</v>
      </c>
      <c r="M87" s="134">
        <v>0</v>
      </c>
      <c r="N87" s="134">
        <v>0</v>
      </c>
      <c r="O87" s="134">
        <v>0</v>
      </c>
      <c r="P87" s="134">
        <v>0</v>
      </c>
      <c r="Q87" s="134">
        <v>0</v>
      </c>
      <c r="R87" s="135">
        <v>0</v>
      </c>
      <c r="T87" s="28"/>
      <c r="U87" s="28"/>
      <c r="V87" s="28"/>
      <c r="W87" s="28"/>
      <c r="X87" s="28"/>
      <c r="Y87" s="28"/>
      <c r="Z87" s="28"/>
      <c r="AA87" s="28"/>
      <c r="AB87" s="28"/>
    </row>
    <row r="89" spans="1:28">
      <c r="L89" s="101"/>
      <c r="M89" s="101"/>
      <c r="N89" s="101"/>
      <c r="O89" s="101"/>
      <c r="P89" s="101"/>
      <c r="Q89" s="101"/>
      <c r="R89" s="101"/>
    </row>
    <row r="90" spans="1:28">
      <c r="L90" s="102"/>
      <c r="M90" s="102"/>
      <c r="N90" s="102"/>
      <c r="O90" s="102"/>
      <c r="P90" s="102"/>
      <c r="Q90" s="102"/>
      <c r="R90" s="102"/>
    </row>
  </sheetData>
  <mergeCells count="8">
    <mergeCell ref="L5:R5"/>
    <mergeCell ref="E1:K1"/>
    <mergeCell ref="E2:K2"/>
    <mergeCell ref="C5:C6"/>
    <mergeCell ref="A5:A6"/>
    <mergeCell ref="B5:B6"/>
    <mergeCell ref="D5:D6"/>
    <mergeCell ref="E5:K5"/>
  </mergeCells>
  <conditionalFormatting sqref="A8:A15">
    <cfRule type="cellIs" dxfId="1" priority="2" operator="equal">
      <formula>"unclear"</formula>
    </cfRule>
  </conditionalFormatting>
  <conditionalFormatting sqref="A7">
    <cfRule type="cellIs" dxfId="0" priority="1" operator="equal">
      <formula>"unclear"</formula>
    </cfRule>
  </conditionalFormatting>
  <hyperlinks>
    <hyperlink ref="A76" r:id="rId1" display="http://www.mfe.govt.nz/environmental-reporting/air/air-quality/pm10/nes/waikato/putaruru.html"/>
    <hyperlink ref="B28" r:id="rId2" display="http://www.mfe.govt.nz/environmental-reporting/air/air-quality/pm10/nes/waikato/hamilton.html"/>
    <hyperlink ref="B74" r:id="rId3" display="http://www.mfe.govt.nz/environmental-reporting/air/air-quality/pm10/nes/waikato/matamata.html"/>
    <hyperlink ref="B76" r:id="rId4" display="http://www.mfe.govt.nz/environmental-reporting/air/air-quality/pm10/nes/waikato/putaruru.html"/>
    <hyperlink ref="B77" r:id="rId5" display="http://www.mfe.govt.nz/environmental-reporting/air/air-quality/pm10/nes/waikato/taupo.html"/>
    <hyperlink ref="B78" r:id="rId6" display="http://www.mfe.govt.nz/environmental-reporting/air/air-quality/pm10/nes/waikato/te-kuiti.html"/>
    <hyperlink ref="B79" r:id="rId7" display="http://www.mfe.govt.nz/environmental-reporting/air/air-quality/pm10/nes/waikato/tokoroa.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Annual Mean</vt:lpstr>
      <vt:lpstr>Represented Populations</vt:lpstr>
      <vt:lpstr>Indicator of State</vt:lpstr>
    </vt:vector>
  </TitlesOfParts>
  <Company>NIWA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Longley</dc:creator>
  <cp:lastModifiedBy>Josh</cp:lastModifiedBy>
  <dcterms:created xsi:type="dcterms:W3CDTF">2014-01-05T23:15:29Z</dcterms:created>
  <dcterms:modified xsi:type="dcterms:W3CDTF">2014-05-14T03:33:00Z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-1084353011</vt:i4>
  </property>
  <property fmtid="{D5CDD505-2E9C-101B-9397-08002B2CF9AE}" pid="3" name="_NewReviewCycle">
    <vt:lpwstr/>
  </property>
  <property fmtid="{D5CDD505-2E9C-101B-9397-08002B2CF9AE}" pid="4" name="_EmailSubject">
    <vt:lpwstr>technical report and spreadsheets now ready </vt:lpwstr>
  </property>
  <property fmtid="{D5CDD505-2E9C-101B-9397-08002B2CF9AE}" pid="5" name="_AuthorEmail">
    <vt:lpwstr>linda.stirling@mfe.govt.nz</vt:lpwstr>
  </property>
  <property fmtid="{D5CDD505-2E9C-101B-9397-08002B2CF9AE}" pid="6" name="_AuthorEmailDisplayName">
    <vt:lpwstr>Linda Stirling</vt:lpwstr>
  </property>
  <property fmtid="{D5CDD505-2E9C-101B-9397-08002B2CF9AE}" pid="7" name="_PreviousAdHocReviewCycleID">
    <vt:i4>-577761375</vt:i4>
  </property>
</Properties>
</file>