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omments2.xml" ContentType="application/vnd.openxmlformats-officedocument.spreadsheetml.comments+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4" rupBuild="9303"/>
  <workbookPr codeName="ThisWorkbook" defaultThemeVersion="124226"/>
  <bookViews>
    <workbookView xWindow="-5490" yWindow="1575" windowWidth="27210" windowHeight="9600" tabRatio="841" firstSheet="1" activeTab="1"/>
  </bookViews>
  <sheets>
    <sheet name="MfE notes-MED can ignore!" sheetId="17" state="hidden" r:id="rId1"/>
    <sheet name="Contents" sheetId="15" r:id="rId2"/>
    <sheet name="Glossary" sheetId="4" r:id="rId3"/>
    <sheet name="Scope 1 Stationary fuels" sheetId="27" r:id="rId4"/>
    <sheet name="Scope 1 Uncertainties" sheetId="39" r:id="rId5"/>
    <sheet name="Scope 1 Transport fuels" sheetId="22" r:id="rId6"/>
    <sheet name="Scope 1 Transport by distance " sheetId="30" r:id="rId7"/>
    <sheet name="Scope 1 Refrigerants" sheetId="16" r:id="rId8"/>
    <sheet name="Scope 2 Electricity" sheetId="32" r:id="rId9"/>
    <sheet name="Scope 3 T &amp; D losses" sheetId="33" r:id="rId10"/>
    <sheet name="Scope 3 Taxi and rental cars" sheetId="34" r:id="rId11"/>
    <sheet name="Scope 3 Air travel" sheetId="36" r:id="rId12"/>
    <sheet name="Scope 3 Waste to landfill" sheetId="38" r:id="rId13"/>
    <sheet name="Transport-background data" sheetId="37" r:id="rId14"/>
    <sheet name="rental car &amp; taxi by cc" sheetId="26" r:id="rId15"/>
    <sheet name="Calorific values for EFs " sheetId="40" r:id="rId16"/>
  </sheets>
  <externalReferences>
    <externalReference r:id="rId17"/>
  </externalReferences>
  <definedNames>
    <definedName name="Z_183111D4_A781_4330_B4AC_6E6EC6ECA26D_.wvu.Cols" localSheetId="12" hidden="1">'Scope 3 Waste to landfill'!$E:$E</definedName>
    <definedName name="Z_528BE8D7_37A5_402E_A9CD_BA3935B9D815_.wvu.Cols" localSheetId="12" hidden="1">'Scope 3 Waste to landfill'!$E:$E</definedName>
    <definedName name="Z_F97BB096_CC72_4291_BA78_E189BBC64EFE_.wvu.Cols" localSheetId="12" hidden="1">'Scope 3 Waste to landfill'!$E:$E</definedName>
  </definedNames>
  <calcPr calcId="145621"/>
</workbook>
</file>

<file path=xl/calcChain.xml><?xml version="1.0" encoding="utf-8"?>
<calcChain xmlns="http://schemas.openxmlformats.org/spreadsheetml/2006/main">
  <c r="C76" i="32" l="1"/>
  <c r="E97" i="33" l="1"/>
  <c r="D97" i="33"/>
  <c r="F92" i="33"/>
  <c r="E92" i="33"/>
  <c r="E40" i="22"/>
  <c r="D40" i="22"/>
  <c r="E4" i="40"/>
  <c r="I89" i="27" l="1"/>
  <c r="D4" i="40"/>
  <c r="I11" i="27"/>
  <c r="AE17" i="37"/>
  <c r="E11" i="36" l="1"/>
  <c r="F110" i="27"/>
  <c r="B67" i="38"/>
  <c r="D56" i="38" s="1"/>
  <c r="F39" i="38"/>
  <c r="E39" i="38"/>
  <c r="D39" i="38"/>
  <c r="D62" i="38"/>
  <c r="D58" i="38"/>
  <c r="D52" i="38"/>
  <c r="D51" i="38"/>
  <c r="D50" i="38"/>
  <c r="D72" i="38"/>
  <c r="D71" i="38"/>
  <c r="F86" i="36"/>
  <c r="F91" i="36"/>
  <c r="F83" i="36"/>
  <c r="F84" i="36"/>
  <c r="F85" i="36"/>
  <c r="F87" i="36"/>
  <c r="F88" i="36"/>
  <c r="F89" i="36"/>
  <c r="F90" i="36"/>
  <c r="E58" i="36"/>
  <c r="H83" i="36" s="1"/>
  <c r="D58" i="36"/>
  <c r="G83" i="36" s="1"/>
  <c r="E83" i="36" s="1"/>
  <c r="E69" i="36" s="1"/>
  <c r="D61" i="34"/>
  <c r="D60" i="34"/>
  <c r="D59" i="34"/>
  <c r="D58" i="34"/>
  <c r="E37" i="34"/>
  <c r="D37" i="34"/>
  <c r="E123" i="33"/>
  <c r="C123" i="33" s="1"/>
  <c r="C109" i="33" s="1"/>
  <c r="C111" i="33" s="1"/>
  <c r="C114" i="33" s="1"/>
  <c r="C115" i="33" s="1"/>
  <c r="E105" i="33" s="1"/>
  <c r="C112" i="33"/>
  <c r="D123" i="33"/>
  <c r="H87" i="36" l="1"/>
  <c r="G84" i="36"/>
  <c r="G89" i="36"/>
  <c r="G91" i="36"/>
  <c r="E91" i="36" s="1"/>
  <c r="E77" i="36" s="1"/>
  <c r="G87" i="36"/>
  <c r="E87" i="36" s="1"/>
  <c r="E73" i="36" s="1"/>
  <c r="D55" i="38"/>
  <c r="D54" i="38"/>
  <c r="D61" i="38"/>
  <c r="E89" i="36"/>
  <c r="E75" i="36" s="1"/>
  <c r="H89" i="36"/>
  <c r="H84" i="36"/>
  <c r="E84" i="36" s="1"/>
  <c r="E70" i="36" s="1"/>
  <c r="H85" i="36"/>
  <c r="H88" i="36"/>
  <c r="H91" i="36"/>
  <c r="G88" i="36"/>
  <c r="G85" i="36"/>
  <c r="E85" i="36" s="1"/>
  <c r="E71" i="36" s="1"/>
  <c r="H90" i="36"/>
  <c r="H86" i="36"/>
  <c r="G90" i="36"/>
  <c r="G86" i="36"/>
  <c r="E86" i="36" s="1"/>
  <c r="E72" i="36" s="1"/>
  <c r="D59" i="38"/>
  <c r="C78" i="32"/>
  <c r="C77" i="32"/>
  <c r="C97" i="33"/>
  <c r="C72" i="33" s="1"/>
  <c r="D92" i="33"/>
  <c r="E90" i="36" l="1"/>
  <c r="E76" i="36" s="1"/>
  <c r="E88" i="36"/>
  <c r="E74" i="36" s="1"/>
  <c r="E106" i="33"/>
  <c r="C92" i="33"/>
  <c r="C71" i="33" s="1"/>
  <c r="E53" i="33"/>
  <c r="D53" i="33"/>
  <c r="F92" i="32"/>
  <c r="E92" i="32"/>
  <c r="E97" i="32"/>
  <c r="D97" i="32"/>
  <c r="C97" i="32" s="1"/>
  <c r="D92" i="32"/>
  <c r="E58" i="32"/>
  <c r="D58" i="32"/>
  <c r="E26" i="30"/>
  <c r="D26" i="30"/>
  <c r="C57" i="27"/>
  <c r="C23" i="22"/>
  <c r="D23" i="22"/>
  <c r="E23" i="22"/>
  <c r="G9" i="22" s="1"/>
  <c r="G14" i="30" s="1"/>
  <c r="F23" i="22"/>
  <c r="G54" i="22"/>
  <c r="H54" i="22"/>
  <c r="F58" i="22"/>
  <c r="E58" i="22" s="1"/>
  <c r="F57" i="22"/>
  <c r="F52" i="22"/>
  <c r="F54" i="22"/>
  <c r="E54" i="22" s="1"/>
  <c r="F55" i="22"/>
  <c r="E55" i="22" s="1"/>
  <c r="F51" i="22"/>
  <c r="G58" i="22"/>
  <c r="G57" i="22"/>
  <c r="G52" i="22"/>
  <c r="E52" i="22" s="1"/>
  <c r="G55" i="22"/>
  <c r="G51" i="22"/>
  <c r="H58" i="22"/>
  <c r="H57" i="22"/>
  <c r="E57" i="22" s="1"/>
  <c r="H52" i="22"/>
  <c r="H55" i="22"/>
  <c r="H51" i="22"/>
  <c r="H53" i="22" s="1"/>
  <c r="D59" i="27"/>
  <c r="F97" i="27"/>
  <c r="F89" i="27"/>
  <c r="C58" i="27"/>
  <c r="E59" i="27"/>
  <c r="D57" i="27"/>
  <c r="F19" i="27" s="1"/>
  <c r="I110" i="27"/>
  <c r="I97" i="27"/>
  <c r="E75" i="27"/>
  <c r="H92" i="27" s="1"/>
  <c r="D75" i="27"/>
  <c r="G91" i="27" s="1"/>
  <c r="G107" i="27" l="1"/>
  <c r="G99" i="27"/>
  <c r="G113" i="27"/>
  <c r="G104" i="27"/>
  <c r="G96" i="27"/>
  <c r="G115" i="27"/>
  <c r="G109" i="27"/>
  <c r="G102" i="27"/>
  <c r="G95" i="27"/>
  <c r="G86" i="27"/>
  <c r="G114" i="27"/>
  <c r="G87" i="27"/>
  <c r="G108" i="27"/>
  <c r="G101" i="27"/>
  <c r="G23" i="22"/>
  <c r="E51" i="22"/>
  <c r="H117" i="27"/>
  <c r="H105" i="27"/>
  <c r="H100" i="27"/>
  <c r="H118" i="27"/>
  <c r="H114" i="27"/>
  <c r="E114" i="27" s="1"/>
  <c r="H108" i="27"/>
  <c r="E108" i="27" s="1"/>
  <c r="H102" i="27"/>
  <c r="H96" i="27"/>
  <c r="H91" i="27"/>
  <c r="E91" i="27" s="1"/>
  <c r="H87" i="27"/>
  <c r="E87" i="27" s="1"/>
  <c r="G53" i="22"/>
  <c r="G94" i="27"/>
  <c r="G117" i="27"/>
  <c r="H86" i="27"/>
  <c r="H113" i="27"/>
  <c r="E113" i="27" s="1"/>
  <c r="H107" i="27"/>
  <c r="H101" i="27"/>
  <c r="H95" i="27"/>
  <c r="H88" i="27"/>
  <c r="G112" i="27"/>
  <c r="E112" i="27" s="1"/>
  <c r="G105" i="27"/>
  <c r="G100" i="27"/>
  <c r="G92" i="27"/>
  <c r="E92" i="27" s="1"/>
  <c r="G118" i="27"/>
  <c r="E118" i="27" s="1"/>
  <c r="E32" i="27"/>
  <c r="G88" i="27"/>
  <c r="E88" i="27" s="1"/>
  <c r="H112" i="27"/>
  <c r="H94" i="27"/>
  <c r="H115" i="27"/>
  <c r="H109" i="27"/>
  <c r="E109" i="27" s="1"/>
  <c r="H104" i="27"/>
  <c r="H99" i="27"/>
  <c r="C92" i="32"/>
  <c r="C75" i="32" s="1"/>
  <c r="C79" i="32" s="1"/>
  <c r="E68" i="32" s="1"/>
  <c r="E6" i="36"/>
  <c r="C16" i="32"/>
  <c r="C80" i="32" l="1"/>
  <c r="E115" i="27"/>
  <c r="E105" i="27"/>
  <c r="E101" i="27"/>
  <c r="G110" i="27"/>
  <c r="E99" i="27"/>
  <c r="H97" i="27"/>
  <c r="H110" i="27"/>
  <c r="E104" i="27"/>
  <c r="E96" i="27"/>
  <c r="E95" i="27"/>
  <c r="E102" i="27"/>
  <c r="G97" i="27"/>
  <c r="E94" i="27"/>
  <c r="E100" i="27"/>
  <c r="H89" i="27"/>
  <c r="E110" i="27"/>
  <c r="E117" i="27"/>
  <c r="G89" i="27"/>
  <c r="E107" i="27"/>
  <c r="E86" i="27"/>
  <c r="C59" i="27"/>
  <c r="F59" i="27"/>
  <c r="F57" i="27"/>
  <c r="E97" i="27" l="1"/>
  <c r="E89" i="27"/>
  <c r="G59" i="27"/>
  <c r="H11" i="27"/>
  <c r="D5" i="40"/>
  <c r="C37" i="33" l="1"/>
  <c r="C36" i="33"/>
  <c r="C39" i="33" l="1"/>
  <c r="C40" i="33" s="1"/>
  <c r="C15" i="33"/>
  <c r="C17" i="32" l="1"/>
  <c r="D36" i="40" l="1"/>
  <c r="D35" i="40"/>
  <c r="E26" i="40"/>
  <c r="E25" i="40"/>
  <c r="G7" i="40"/>
  <c r="F7" i="40"/>
  <c r="D23" i="40"/>
  <c r="D24" i="40"/>
  <c r="D25" i="40"/>
  <c r="D26" i="40"/>
  <c r="G17" i="40"/>
  <c r="F17" i="40"/>
  <c r="E36" i="40"/>
  <c r="E35" i="40"/>
  <c r="E6" i="40"/>
  <c r="E5" i="40"/>
  <c r="D6" i="40"/>
  <c r="D15" i="38" l="1"/>
  <c r="D7" i="38"/>
  <c r="E57" i="27" l="1"/>
  <c r="E19" i="27"/>
  <c r="E58" i="27"/>
  <c r="G32" i="27" s="1"/>
  <c r="G19" i="27" l="1"/>
  <c r="G57" i="27"/>
  <c r="D15" i="30"/>
  <c r="T30" i="26"/>
  <c r="AC18" i="37"/>
  <c r="AA18" i="37"/>
  <c r="Y18" i="37"/>
  <c r="Y19" i="37" s="1"/>
  <c r="AC19" i="37" l="1"/>
  <c r="AA19" i="37"/>
  <c r="B24" i="38"/>
  <c r="D12" i="38" s="1"/>
  <c r="AE19" i="37" l="1"/>
  <c r="D13" i="38"/>
  <c r="D18" i="38"/>
  <c r="D19" i="38"/>
  <c r="Q23" i="37"/>
  <c r="O23" i="37"/>
  <c r="M23" i="37"/>
  <c r="K23" i="37"/>
  <c r="I23" i="37"/>
  <c r="G23" i="37"/>
  <c r="D18" i="37"/>
  <c r="D24" i="37" l="1"/>
  <c r="D32" i="26"/>
  <c r="D26" i="26" s="1"/>
  <c r="C32" i="26"/>
  <c r="U32" i="26" s="1"/>
  <c r="T31" i="26"/>
  <c r="R31" i="26"/>
  <c r="O31" i="26"/>
  <c r="L31" i="26"/>
  <c r="I31" i="26"/>
  <c r="F31" i="26"/>
  <c r="S30" i="26"/>
  <c r="P30" i="26"/>
  <c r="M30" i="26"/>
  <c r="J30" i="26"/>
  <c r="G30" i="26"/>
  <c r="T27" i="26"/>
  <c r="R27" i="26"/>
  <c r="O27" i="26"/>
  <c r="L27" i="26"/>
  <c r="I27" i="26"/>
  <c r="F27" i="26"/>
  <c r="T26" i="26"/>
  <c r="S26" i="26"/>
  <c r="P26" i="26"/>
  <c r="M26" i="26"/>
  <c r="J26" i="26"/>
  <c r="G26" i="26"/>
  <c r="T23" i="26"/>
  <c r="R23" i="26"/>
  <c r="O23" i="26"/>
  <c r="L23" i="26"/>
  <c r="I23" i="26"/>
  <c r="F23" i="26"/>
  <c r="T22" i="26"/>
  <c r="S22" i="26"/>
  <c r="P22" i="26"/>
  <c r="M22" i="26"/>
  <c r="J22" i="26"/>
  <c r="G22" i="26"/>
  <c r="T19" i="26"/>
  <c r="R19" i="26"/>
  <c r="O19" i="26"/>
  <c r="L19" i="26"/>
  <c r="I19" i="26"/>
  <c r="F19" i="26"/>
  <c r="T18" i="26"/>
  <c r="S18" i="26"/>
  <c r="P18" i="26"/>
  <c r="M18" i="26"/>
  <c r="J18" i="26"/>
  <c r="G18" i="26"/>
  <c r="T15" i="26"/>
  <c r="R15" i="26"/>
  <c r="O15" i="26"/>
  <c r="L15" i="26"/>
  <c r="I15" i="26"/>
  <c r="F15" i="26"/>
  <c r="T14" i="26"/>
  <c r="S14" i="26"/>
  <c r="P14" i="26"/>
  <c r="M14" i="26"/>
  <c r="J14" i="26"/>
  <c r="G14" i="26"/>
  <c r="T11" i="26"/>
  <c r="R11" i="26"/>
  <c r="O11" i="26"/>
  <c r="L11" i="26"/>
  <c r="I11" i="26"/>
  <c r="F11" i="26"/>
  <c r="T10" i="26"/>
  <c r="S10" i="26"/>
  <c r="P10" i="26"/>
  <c r="M10" i="26"/>
  <c r="J10" i="26"/>
  <c r="G10" i="26"/>
  <c r="D14" i="26" l="1"/>
  <c r="E17" i="37"/>
  <c r="E16" i="37"/>
  <c r="E15" i="37"/>
  <c r="U21" i="26"/>
  <c r="D30" i="26"/>
  <c r="V32" i="26"/>
  <c r="V30" i="26" s="1"/>
  <c r="D10" i="26"/>
  <c r="C11" i="26"/>
  <c r="C23" i="26"/>
  <c r="C19" i="26"/>
  <c r="C15" i="26"/>
  <c r="C27" i="26"/>
  <c r="C31" i="26"/>
  <c r="U11" i="26"/>
  <c r="U31" i="26"/>
  <c r="D18" i="26"/>
  <c r="D22" i="26"/>
  <c r="D14" i="30"/>
  <c r="AK18" i="37"/>
  <c r="AI18" i="37"/>
  <c r="AG18" i="37"/>
  <c r="AM17" i="37"/>
  <c r="V10" i="26" l="1"/>
  <c r="V20" i="26"/>
  <c r="AG19" i="37"/>
  <c r="H19" i="27"/>
  <c r="F58" i="27"/>
  <c r="H32" i="27" s="1"/>
  <c r="D58" i="27"/>
  <c r="E11" i="27"/>
  <c r="I19" i="27"/>
  <c r="I32" i="27"/>
  <c r="F32" i="27" l="1"/>
  <c r="G58" i="27"/>
  <c r="G15" i="30"/>
  <c r="K15" i="30" s="1"/>
  <c r="E9" i="22"/>
  <c r="H9" i="22"/>
  <c r="H14" i="30" s="1"/>
  <c r="F9" i="22"/>
  <c r="E17" i="34" l="1"/>
  <c r="E14" i="30"/>
  <c r="I14" i="30" s="1"/>
  <c r="E5" i="30" s="1"/>
  <c r="F14" i="30"/>
  <c r="J14" i="30" s="1"/>
  <c r="F53" i="22"/>
  <c r="E53" i="22" s="1"/>
  <c r="E58" i="34" s="1"/>
  <c r="H15" i="30"/>
  <c r="L15" i="30" s="1"/>
  <c r="H16" i="30"/>
  <c r="F15" i="30"/>
  <c r="J15" i="30" s="1"/>
  <c r="E15" i="30" l="1"/>
  <c r="I15" i="30" s="1"/>
  <c r="F58" i="34"/>
  <c r="D47" i="34" s="1"/>
  <c r="E59" i="34"/>
  <c r="F59" i="34" s="1"/>
  <c r="E61" i="34"/>
  <c r="F61" i="34" s="1"/>
  <c r="E60" i="34"/>
  <c r="F60" i="34" s="1"/>
  <c r="D49" i="34" s="1"/>
  <c r="C18" i="33"/>
  <c r="C17" i="33"/>
  <c r="C73" i="33" s="1"/>
  <c r="C75" i="33" s="1"/>
  <c r="C16" i="33"/>
  <c r="E5" i="32"/>
  <c r="D51" i="34" l="1"/>
  <c r="C68" i="34"/>
  <c r="D52" i="34" s="1"/>
  <c r="D50" i="34"/>
  <c r="D48" i="34"/>
  <c r="C74" i="33"/>
  <c r="C77" i="33" s="1"/>
  <c r="C79" i="33" s="1"/>
  <c r="E63" i="33" s="1"/>
  <c r="C19" i="33"/>
  <c r="C21" i="33"/>
  <c r="D8" i="38"/>
  <c r="C23" i="33" l="1"/>
  <c r="G11" i="27"/>
  <c r="F11" i="27"/>
  <c r="D29" i="38"/>
  <c r="D28" i="38"/>
  <c r="D11" i="38"/>
  <c r="D9" i="38"/>
  <c r="D16" i="38" l="1"/>
  <c r="AK19" i="37" l="1"/>
  <c r="AI19" i="37"/>
  <c r="C17" i="34" a="1"/>
  <c r="C18" i="34" s="1"/>
  <c r="D18" i="34" s="1"/>
  <c r="AM19" i="37" l="1"/>
  <c r="K14" i="30"/>
  <c r="G5" i="30" s="1"/>
  <c r="G36" i="30" s="1"/>
  <c r="F5" i="30"/>
  <c r="F36" i="30" s="1"/>
  <c r="C17" i="34"/>
  <c r="D17" i="34" s="1"/>
  <c r="F17" i="34" s="1"/>
  <c r="D5" i="34" s="1"/>
  <c r="C19" i="34"/>
  <c r="D19" i="34" s="1"/>
  <c r="E7" i="36"/>
  <c r="E8" i="36"/>
  <c r="E9" i="36"/>
  <c r="E10" i="36"/>
  <c r="E12" i="36"/>
  <c r="E13" i="36"/>
  <c r="E14" i="36"/>
  <c r="C20" i="34" l="1"/>
  <c r="D20" i="34" s="1"/>
  <c r="B35" i="32" l="1"/>
  <c r="B36" i="32" s="1"/>
  <c r="B37" i="32" s="1"/>
  <c r="B38" i="32" s="1"/>
  <c r="B39" i="32" s="1"/>
  <c r="B40" i="32" s="1"/>
  <c r="B41" i="32" s="1"/>
  <c r="B42" i="32" s="1"/>
  <c r="B43" i="32" s="1"/>
  <c r="B44" i="32" s="1"/>
  <c r="B45" i="32" s="1"/>
  <c r="B46" i="32" s="1"/>
  <c r="E7" i="33" l="1"/>
  <c r="E30" i="33"/>
  <c r="E31" i="33"/>
  <c r="D16" i="30"/>
  <c r="L14" i="30" l="1"/>
  <c r="H5" i="30" s="1"/>
  <c r="H36" i="30" s="1"/>
  <c r="E36" i="30" l="1"/>
  <c r="L16" i="30"/>
  <c r="H7" i="30" s="1"/>
  <c r="H38" i="30" s="1"/>
  <c r="G16" i="30"/>
  <c r="E16" i="30"/>
  <c r="E8" i="30"/>
  <c r="F16" i="30"/>
  <c r="J16" i="30" s="1"/>
  <c r="F7" i="30" s="1"/>
  <c r="F38" i="30" s="1"/>
  <c r="F8" i="30"/>
  <c r="F39" i="30" s="1"/>
  <c r="G8" i="30" l="1"/>
  <c r="G39" i="30" s="1"/>
  <c r="G6" i="30"/>
  <c r="G37" i="30" s="1"/>
  <c r="I16" i="30"/>
  <c r="E7" i="30" s="1"/>
  <c r="H8" i="30"/>
  <c r="H39" i="30" s="1"/>
  <c r="H6" i="30"/>
  <c r="H37" i="30" s="1"/>
  <c r="E6" i="30"/>
  <c r="K16" i="30"/>
  <c r="F6" i="30"/>
  <c r="F37" i="30" s="1"/>
  <c r="E20" i="34"/>
  <c r="F20" i="34" s="1"/>
  <c r="E18" i="34"/>
  <c r="E19" i="34"/>
  <c r="F19" i="34" s="1"/>
  <c r="C27" i="34" l="1"/>
  <c r="D10" i="34" s="1"/>
  <c r="D9" i="34"/>
  <c r="G7" i="30"/>
  <c r="G38" i="30" s="1"/>
  <c r="E38" i="30" s="1"/>
  <c r="E39" i="30"/>
  <c r="E37" i="30"/>
  <c r="F18" i="34"/>
  <c r="D8" i="34" s="1"/>
  <c r="D7" i="34"/>
  <c r="D6" i="34" l="1"/>
</calcChain>
</file>

<file path=xl/comments1.xml><?xml version="1.0" encoding="utf-8"?>
<comments xmlns="http://schemas.openxmlformats.org/spreadsheetml/2006/main">
  <authors>
    <author>Peter Lee</author>
  </authors>
  <commentList>
    <comment ref="C5" authorId="0">
      <text>
        <r>
          <rPr>
            <sz val="8"/>
            <color indexed="81"/>
            <rFont val="Tahoma"/>
            <family val="2"/>
          </rPr>
          <t xml:space="preserve">Formerly 'Energy Data File' </t>
        </r>
      </text>
    </comment>
  </commentList>
</comments>
</file>

<file path=xl/comments2.xml><?xml version="1.0" encoding="utf-8"?>
<comments xmlns="http://schemas.openxmlformats.org/spreadsheetml/2006/main">
  <authors>
    <author>YangA</author>
  </authors>
  <commentList>
    <comment ref="N8" authorId="0">
      <text>
        <r>
          <rPr>
            <b/>
            <sz val="10"/>
            <color indexed="81"/>
            <rFont val="Tahoma"/>
            <family val="2"/>
          </rPr>
          <t>YangA:</t>
        </r>
        <r>
          <rPr>
            <sz val="10"/>
            <color indexed="81"/>
            <rFont val="Tahoma"/>
            <family val="2"/>
          </rPr>
          <t xml:space="preserve">
available but is not relavant to the furture reports</t>
        </r>
      </text>
    </comment>
  </commentList>
</comments>
</file>

<file path=xl/sharedStrings.xml><?xml version="1.0" encoding="utf-8"?>
<sst xmlns="http://schemas.openxmlformats.org/spreadsheetml/2006/main" count="1529" uniqueCount="523">
  <si>
    <t>Emission Source</t>
  </si>
  <si>
    <t>User</t>
  </si>
  <si>
    <t>Unit</t>
  </si>
  <si>
    <r>
      <t>Emission factor Total CO</t>
    </r>
    <r>
      <rPr>
        <vertAlign val="subscript"/>
        <sz val="10"/>
        <rFont val="Arial"/>
        <family val="2"/>
      </rPr>
      <t>2</t>
    </r>
    <r>
      <rPr>
        <sz val="10"/>
        <rFont val="Arial"/>
        <family val="2"/>
      </rPr>
      <t>-e
(kg CO</t>
    </r>
    <r>
      <rPr>
        <vertAlign val="subscript"/>
        <sz val="10"/>
        <rFont val="Arial"/>
        <family val="2"/>
      </rPr>
      <t>2</t>
    </r>
    <r>
      <rPr>
        <sz val="10"/>
        <rFont val="Arial"/>
        <family val="2"/>
      </rPr>
      <t xml:space="preserve">-e/unit) </t>
    </r>
  </si>
  <si>
    <t>Stationary Combustion</t>
  </si>
  <si>
    <r>
      <t>Emission factor
        N</t>
    </r>
    <r>
      <rPr>
        <vertAlign val="subscript"/>
        <sz val="10"/>
        <rFont val="Arial"/>
        <family val="2"/>
      </rPr>
      <t>2</t>
    </r>
    <r>
      <rPr>
        <sz val="10"/>
        <rFont val="Arial"/>
        <family val="2"/>
      </rPr>
      <t>O
(kg CO</t>
    </r>
    <r>
      <rPr>
        <vertAlign val="subscript"/>
        <sz val="10"/>
        <rFont val="Arial"/>
        <family val="2"/>
      </rPr>
      <t>2</t>
    </r>
    <r>
      <rPr>
        <sz val="10"/>
        <rFont val="Arial"/>
        <family val="2"/>
      </rPr>
      <t xml:space="preserve">-e/unit) </t>
    </r>
  </si>
  <si>
    <t>Transport Fuels</t>
  </si>
  <si>
    <t>Distributed Natural Gas</t>
  </si>
  <si>
    <t>Commercial</t>
  </si>
  <si>
    <t>KWh</t>
  </si>
  <si>
    <t>GJ</t>
  </si>
  <si>
    <t>Coal - Bituminous</t>
  </si>
  <si>
    <t>Kg</t>
  </si>
  <si>
    <t>Coal - Sub-Bituminous</t>
  </si>
  <si>
    <t>Coal - Lignite</t>
  </si>
  <si>
    <t>Diesel</t>
  </si>
  <si>
    <t>Litre</t>
  </si>
  <si>
    <t>LPG</t>
  </si>
  <si>
    <t>Heavy Fuel Oil</t>
  </si>
  <si>
    <t>Light Fuel Oil</t>
  </si>
  <si>
    <t>Industry</t>
  </si>
  <si>
    <t>Wood</t>
  </si>
  <si>
    <t>Fireplaces*</t>
  </si>
  <si>
    <t xml:space="preserve">Regular Petrol </t>
  </si>
  <si>
    <t>Mobile use</t>
  </si>
  <si>
    <t>Premium Petrol</t>
  </si>
  <si>
    <t xml:space="preserve">LPG </t>
  </si>
  <si>
    <t>Purchased electricity</t>
  </si>
  <si>
    <t>Reference:</t>
  </si>
  <si>
    <t>Methodology:</t>
  </si>
  <si>
    <t>Geothermal emissions</t>
  </si>
  <si>
    <t>Electricity generated</t>
  </si>
  <si>
    <t>Direct thermal emissions</t>
  </si>
  <si>
    <t>Gg CO2-e</t>
  </si>
  <si>
    <t>GWh</t>
  </si>
  <si>
    <t>g/Wh</t>
  </si>
  <si>
    <t>kg/kWh</t>
  </si>
  <si>
    <t>EF</t>
  </si>
  <si>
    <t>Electricity consumed</t>
  </si>
  <si>
    <t>EF - generation</t>
  </si>
  <si>
    <t>EF - consumption</t>
  </si>
  <si>
    <t>T &amp; D losses</t>
  </si>
  <si>
    <t>Transmission and distribution losses</t>
  </si>
  <si>
    <t>Source</t>
  </si>
  <si>
    <t>NZEGGE</t>
  </si>
  <si>
    <t>kWh</t>
  </si>
  <si>
    <t>Transmission losses for natural gas</t>
  </si>
  <si>
    <t>PJ</t>
  </si>
  <si>
    <t>kg CO2-e /GJ</t>
  </si>
  <si>
    <t>kg CO2-e /kWh</t>
  </si>
  <si>
    <t>Transmission and distribution
 losses for distributed natural gas</t>
  </si>
  <si>
    <t>Transmission and distribution losses for purchased electricity</t>
  </si>
  <si>
    <t>Marine Diesel</t>
  </si>
  <si>
    <t>Real world PETROL fuel use estimate (L/100km)</t>
  </si>
  <si>
    <t>Litres per km</t>
  </si>
  <si>
    <t>Emission Factor
(kg CO2-e/km)</t>
  </si>
  <si>
    <t>Car - Small (&lt;1600cc)</t>
  </si>
  <si>
    <t>Car - Large (&gt;= 2500)</t>
  </si>
  <si>
    <t>Real world' petrol fuel use estimate 
(L/100km)</t>
  </si>
  <si>
    <t>&lt; 1600</t>
  </si>
  <si>
    <t>Car - Small (&lt;1600 cc)</t>
  </si>
  <si>
    <t>Km</t>
  </si>
  <si>
    <t>&lt; 2500</t>
  </si>
  <si>
    <t>Car - Medium (1600 - &lt;2500 cc)</t>
  </si>
  <si>
    <t>&gt;= 2500</t>
  </si>
  <si>
    <t>Car - Large (&gt;= 2500 cc)</t>
  </si>
  <si>
    <t>Total</t>
  </si>
  <si>
    <t>CC group</t>
  </si>
  <si>
    <t>Regular petrol used</t>
  </si>
  <si>
    <t>Premium petrol used</t>
  </si>
  <si>
    <t>Petrol - default</t>
  </si>
  <si>
    <t>Petrol default</t>
  </si>
  <si>
    <t>Petrol kg CO2-e / litre</t>
  </si>
  <si>
    <t>Coal – Bituminous</t>
  </si>
  <si>
    <t>Coal – Sub-bituminous</t>
  </si>
  <si>
    <t>Coal – Lignite</t>
  </si>
  <si>
    <t>Domestic</t>
  </si>
  <si>
    <t>pkm</t>
  </si>
  <si>
    <t>Short Haul International (&lt;3700 km)</t>
  </si>
  <si>
    <t>Long Haul International (&gt;3700 km)</t>
  </si>
  <si>
    <r>
      <t>kg CO</t>
    </r>
    <r>
      <rPr>
        <vertAlign val="subscript"/>
        <sz val="10"/>
        <rFont val="Arial"/>
        <family val="2"/>
      </rPr>
      <t>2</t>
    </r>
    <r>
      <rPr>
        <sz val="10"/>
        <rFont val="Arial"/>
        <family val="2"/>
      </rPr>
      <t xml:space="preserve"> per unit</t>
    </r>
  </si>
  <si>
    <t>Office waste - Govt3 data on composition of organics</t>
  </si>
  <si>
    <t>paper</t>
  </si>
  <si>
    <t>food</t>
  </si>
  <si>
    <t>Emission source</t>
  </si>
  <si>
    <r>
      <t>Kgs CH</t>
    </r>
    <r>
      <rPr>
        <b/>
        <vertAlign val="subscript"/>
        <sz val="10"/>
        <rFont val="Arial"/>
        <family val="2"/>
      </rPr>
      <t>4</t>
    </r>
    <r>
      <rPr>
        <b/>
        <sz val="10"/>
        <rFont val="Arial"/>
        <family val="2"/>
      </rPr>
      <t>/unit</t>
    </r>
  </si>
  <si>
    <t>Equation</t>
  </si>
  <si>
    <t>Landfilled waste (without landfill gas recovery)</t>
  </si>
  <si>
    <t>Paper and textiles</t>
  </si>
  <si>
    <t>kg</t>
  </si>
  <si>
    <t>(0.4 * 0.5 * 0.5 * 16/12) * (1-0.1) * 21</t>
  </si>
  <si>
    <t xml:space="preserve">Garden and food </t>
  </si>
  <si>
    <t>(0.3 * 0.5 * 0.5 * 16/12) * (1-0.1) * 21</t>
  </si>
  <si>
    <t>Landfilled waste (with landfill gas recovery)</t>
  </si>
  <si>
    <t>Landfilled waste – default values (without landfill gas recovery)</t>
  </si>
  <si>
    <t>Mixed waste</t>
  </si>
  <si>
    <t>0.040[2]</t>
  </si>
  <si>
    <t>Office waste</t>
  </si>
  <si>
    <t>Landfilled waste – default values (with landfill gas recovery)</t>
  </si>
  <si>
    <r>
      <t>0.025</t>
    </r>
    <r>
      <rPr>
        <sz val="8"/>
        <rFont val="Times New Roman"/>
        <family val="1"/>
      </rPr>
      <t> </t>
    </r>
  </si>
  <si>
    <t>Rental car - Small (&lt;1600cc)</t>
  </si>
  <si>
    <t>Rental car - Medium (1600 - &lt;2500cc)</t>
  </si>
  <si>
    <t>Rental car - Large (&gt;= 2500)</t>
  </si>
  <si>
    <t>Taxis $ Value</t>
  </si>
  <si>
    <r>
      <t>Emission factor
       Total CO</t>
    </r>
    <r>
      <rPr>
        <vertAlign val="subscript"/>
        <sz val="10"/>
        <rFont val="Arial"/>
        <family val="2"/>
      </rPr>
      <t>2</t>
    </r>
    <r>
      <rPr>
        <sz val="10"/>
        <rFont val="Arial"/>
        <family val="2"/>
      </rPr>
      <t>-e
(kg CO</t>
    </r>
    <r>
      <rPr>
        <vertAlign val="subscript"/>
        <sz val="10"/>
        <rFont val="Arial"/>
        <family val="2"/>
      </rPr>
      <t>2</t>
    </r>
    <r>
      <rPr>
        <sz val="10"/>
        <rFont val="Arial"/>
        <family val="2"/>
      </rPr>
      <t xml:space="preserve">-e/unit) </t>
    </r>
  </si>
  <si>
    <t>Taxi travel - Distance travelled</t>
  </si>
  <si>
    <t>Taxi travel - Dollars spent</t>
  </si>
  <si>
    <t>$</t>
  </si>
  <si>
    <t>Petrol emission factor (kg CO2-e / litre)</t>
  </si>
  <si>
    <t>Calorific Value</t>
  </si>
  <si>
    <t>(MJ/unit)</t>
  </si>
  <si>
    <t>T CH4/TJ</t>
  </si>
  <si>
    <t>T N2O/TJ</t>
  </si>
  <si>
    <t>NA</t>
  </si>
  <si>
    <t>Regular Petrol</t>
  </si>
  <si>
    <t>T CO2/TJ (After Oxidation)</t>
  </si>
  <si>
    <r>
      <t>Taxis, kg CO2-</t>
    </r>
    <r>
      <rPr>
        <vertAlign val="subscript"/>
        <sz val="10"/>
        <rFont val="Arial"/>
        <family val="2"/>
      </rPr>
      <t>e</t>
    </r>
    <r>
      <rPr>
        <sz val="10"/>
        <rFont val="Arial"/>
        <family val="2"/>
      </rPr>
      <t xml:space="preserve"> per $ spent</t>
    </r>
  </si>
  <si>
    <t>MfE</t>
  </si>
  <si>
    <t>Ministry for the Environment</t>
  </si>
  <si>
    <t>Default refrigerant charges and emission factors for refrigeration and air conditioning equipment</t>
  </si>
  <si>
    <t>Refrigeration unit type</t>
  </si>
  <si>
    <t>Default refrigerant charge (kg)</t>
  </si>
  <si>
    <t>Default leakage rate (operating – ALR)</t>
  </si>
  <si>
    <t>Guidance on method choice</t>
  </si>
  <si>
    <t>Method A</t>
  </si>
  <si>
    <t>Method B</t>
  </si>
  <si>
    <t>Method C</t>
  </si>
  <si>
    <t xml:space="preserve">Not applicable </t>
  </si>
  <si>
    <t>Unnecessary</t>
  </si>
  <si>
    <t>Recommended</t>
  </si>
  <si>
    <t>Acceptable</t>
  </si>
  <si>
    <t>Medium refrigerator or freezer</t>
  </si>
  <si>
    <t>(up to 300 litres)</t>
  </si>
  <si>
    <t>Not applicable</t>
  </si>
  <si>
    <t>Large refrigerator or freezer</t>
  </si>
  <si>
    <t>(more than 300 litres)</t>
  </si>
  <si>
    <t>Small commercial stand-alone chiller (up to 300 litres)</t>
  </si>
  <si>
    <t>Screening method only</t>
  </si>
  <si>
    <t>Medium commercial stand-alone chiller (up to 500 litres)</t>
  </si>
  <si>
    <t>Large commercial stand-alone chiller (more than 500 litres)</t>
  </si>
  <si>
    <t>Small commercial stand-alone freezer (up to 300 litres)</t>
  </si>
  <si>
    <t>Medium commercial stand-alone freezer (up to 500 litres)</t>
  </si>
  <si>
    <t>Large commercial stand-alone freezer (more than 500 litres)</t>
  </si>
  <si>
    <t>Water coolers</t>
  </si>
  <si>
    <t>Dehumidifiers</t>
  </si>
  <si>
    <t>Small self-contained air conditioners (window mounted or through-the-wall)</t>
  </si>
  <si>
    <t>0.2kg per kW cooling capacity</t>
  </si>
  <si>
    <t>Non-ducted and ducted split commercial air conditioners</t>
  </si>
  <si>
    <t>(up to 20kW)</t>
  </si>
  <si>
    <t>0.25kg per kW cooling capacity</t>
  </si>
  <si>
    <t>Commercial air conditioning</t>
  </si>
  <si>
    <t>(above 20kW)</t>
  </si>
  <si>
    <t>wide range</t>
  </si>
  <si>
    <t>Wide range</t>
  </si>
  <si>
    <t>Unacceptable</t>
  </si>
  <si>
    <t>Cars/vans</t>
  </si>
  <si>
    <t>Trucks</t>
  </si>
  <si>
    <t>Buses</t>
  </si>
  <si>
    <t>2.5 (but up to 10)</t>
  </si>
  <si>
    <t>Refrigerated truck trailer units</t>
  </si>
  <si>
    <t>Self-powered or ‘cab-over’ refrigerated trucks</t>
  </si>
  <si>
    <t>‘Off-engine’ or ‘direct drive’ refrigerated vans and trucks</t>
  </si>
  <si>
    <t>Three-phase refrigerated containers</t>
  </si>
  <si>
    <r>
      <t>Small refrigerator or freezer
(up to 150 litres)</t>
    </r>
    <r>
      <rPr>
        <vertAlign val="superscript"/>
        <sz val="10"/>
        <rFont val="Arial"/>
        <family val="2"/>
      </rPr>
      <t>2</t>
    </r>
  </si>
  <si>
    <r>
      <t>Default leakage rate (installation – AEF)</t>
    </r>
    <r>
      <rPr>
        <b/>
        <vertAlign val="superscript"/>
        <sz val="10"/>
        <rFont val="Arial"/>
        <family val="2"/>
      </rPr>
      <t>1</t>
    </r>
  </si>
  <si>
    <r>
      <rPr>
        <vertAlign val="superscript"/>
        <sz val="10"/>
        <rFont val="Arial"/>
        <family val="2"/>
      </rPr>
      <t>2</t>
    </r>
    <r>
      <rPr>
        <sz val="10"/>
        <rFont val="Arial"/>
        <family val="2"/>
      </rPr>
      <t xml:space="preserve"> Internal dimensions up to 100x50x30cm for 150 litres; 150x50x40cm for 300 litres; 200x50x50cm for 500 litres.</t>
    </r>
  </si>
  <si>
    <t>Single-phase refrigerated containers</t>
  </si>
  <si>
    <t>Centralised commercial refrigeration eg, supermarkets</t>
  </si>
  <si>
    <t>Industrial and commercial coolstores</t>
  </si>
  <si>
    <t>Refrigerant type (trade name)</t>
  </si>
  <si>
    <t>HFC-23</t>
  </si>
  <si>
    <t>HFC-32</t>
  </si>
  <si>
    <t>HFC-125</t>
  </si>
  <si>
    <t>HFC-134a</t>
  </si>
  <si>
    <t>HFC-143a</t>
  </si>
  <si>
    <t>HFC-152a</t>
  </si>
  <si>
    <t>PFC-218</t>
  </si>
  <si>
    <t>Total GWP</t>
  </si>
  <si>
    <t>R23</t>
  </si>
  <si>
    <t>R134a</t>
  </si>
  <si>
    <t>R403B: 5% R290, 56% R22, 39% R218</t>
  </si>
  <si>
    <t>R404A: 44% R125, 52% R143a, 4% R134a</t>
  </si>
  <si>
    <t>R407C: 23% R32, 25% R125, 52% R134a</t>
  </si>
  <si>
    <t>R408A: 7% R125, 46% 143a, 47% R22</t>
  </si>
  <si>
    <t>R410A: 50% R32, 50% R125</t>
  </si>
  <si>
    <t>R413A: 9% R218, 88% R134a, 3% R600a</t>
  </si>
  <si>
    <t>R416A: 59% R134a, 39.5% R124,1.5% R600</t>
  </si>
  <si>
    <t>R417A: 46.6% R125 50% R134a 3.4% R600</t>
  </si>
  <si>
    <t>R422A: 85.1% R125, 11.5% R134a, 3.4% R600a</t>
  </si>
  <si>
    <t>R507A: 50% R125, 50% R143a</t>
  </si>
  <si>
    <t>Other*</t>
  </si>
  <si>
    <t>GWP 100yr (IPCC, 1996)</t>
  </si>
  <si>
    <t>Glossary</t>
  </si>
  <si>
    <t>Electricity</t>
  </si>
  <si>
    <t>R22 (HCFC-22)</t>
  </si>
  <si>
    <t>Coal default EF</t>
  </si>
  <si>
    <t>Coal default EF (industry)</t>
  </si>
  <si>
    <t>Again this was linked to sub bituminous-worth reassessing this assumption in light of updated EDF publication</t>
  </si>
  <si>
    <t>CH4 andN2O factors are different (CO2 the same)</t>
  </si>
  <si>
    <t>I will do initial calcs then send to Brian for peer review</t>
  </si>
  <si>
    <t>use total net production (table G1 in EDF 2011)</t>
  </si>
  <si>
    <t>Electricity-as in worksheet from Matt</t>
  </si>
  <si>
    <t>Leave gas in. Use value for gas distribution networks-fig E7? (not table E5a)</t>
  </si>
  <si>
    <t>Vehicle distance</t>
  </si>
  <si>
    <t>need real world data figures updated</t>
  </si>
  <si>
    <t>Taxi</t>
  </si>
  <si>
    <t>Taxi and rental car size based on assumptions from 2007/08 data from Motor Industry Association new vehicle sales database. Would be worth checking with MIA for an updates</t>
  </si>
  <si>
    <t>Contact is Perry Kerr</t>
  </si>
  <si>
    <t>Taxi charge data from Linda Ling to get updated</t>
  </si>
  <si>
    <t>General</t>
  </si>
  <si>
    <t>uncertainties/range of data: when getting updates for data-ask for range: as low as, as high as…</t>
  </si>
  <si>
    <t>Differentiate between reporting and accounting: report everything, but recognise accrediated programmes such as carbon zero offsets when accounting for emissions</t>
  </si>
  <si>
    <t>-</t>
  </si>
  <si>
    <t>Liquid</t>
  </si>
  <si>
    <t>Gaseous</t>
  </si>
  <si>
    <t>Biomass</t>
  </si>
  <si>
    <t>Percentage Uncertainty Total CO2-e</t>
  </si>
  <si>
    <t xml:space="preserve">Absolute Unceratinty Total CO2-e
(kg CO2-e/unit) </t>
  </si>
  <si>
    <t xml:space="preserve">Absolute Unceratinty CO2
(kg CO2/unit) </t>
  </si>
  <si>
    <t xml:space="preserve">Absolute Uncertainty CH4
(kg CO2-e/unit) </t>
  </si>
  <si>
    <t xml:space="preserve">Absolute Uncertainty N2O
(kg CO2-e/unit) </t>
  </si>
  <si>
    <t>get from Stuart Badger (MoT)</t>
  </si>
  <si>
    <t>Table of Contents</t>
  </si>
  <si>
    <r>
      <t>Detailed 100-year global warming potentials for various refrigerant mixtures</t>
    </r>
    <r>
      <rPr>
        <b/>
        <vertAlign val="superscript"/>
        <sz val="10"/>
        <rFont val="Arial"/>
        <family val="2"/>
      </rPr>
      <t>[1]</t>
    </r>
  </si>
  <si>
    <r>
      <t>Emission factor CO</t>
    </r>
    <r>
      <rPr>
        <vertAlign val="subscript"/>
        <sz val="10"/>
        <rFont val="Arial"/>
        <family val="2"/>
      </rPr>
      <t>2</t>
    </r>
    <r>
      <rPr>
        <sz val="10"/>
        <rFont val="Arial"/>
        <family val="2"/>
      </rPr>
      <t xml:space="preserve">
(kg CO2/unit) </t>
    </r>
  </si>
  <si>
    <r>
      <t>Emission factor CH</t>
    </r>
    <r>
      <rPr>
        <vertAlign val="subscript"/>
        <sz val="10"/>
        <rFont val="Arial"/>
        <family val="2"/>
      </rPr>
      <t>4</t>
    </r>
    <r>
      <rPr>
        <sz val="10"/>
        <rFont val="Arial"/>
        <family val="2"/>
      </rPr>
      <t xml:space="preserve">
(kg CO</t>
    </r>
    <r>
      <rPr>
        <vertAlign val="subscript"/>
        <sz val="10"/>
        <rFont val="Arial"/>
        <family val="2"/>
      </rPr>
      <t>2</t>
    </r>
    <r>
      <rPr>
        <sz val="10"/>
        <rFont val="Arial"/>
        <family val="2"/>
      </rPr>
      <t xml:space="preserve">-e/unit) </t>
    </r>
  </si>
  <si>
    <r>
      <t>Uncertainty Total CO</t>
    </r>
    <r>
      <rPr>
        <vertAlign val="subscript"/>
        <sz val="10"/>
        <rFont val="Arial"/>
        <family val="2"/>
      </rPr>
      <t>2</t>
    </r>
    <r>
      <rPr>
        <sz val="10"/>
        <rFont val="Arial"/>
        <family val="2"/>
      </rPr>
      <t>-e</t>
    </r>
  </si>
  <si>
    <r>
      <t>CO</t>
    </r>
    <r>
      <rPr>
        <vertAlign val="subscript"/>
        <sz val="10"/>
        <rFont val="Arial"/>
        <family val="2"/>
      </rPr>
      <t>2</t>
    </r>
    <r>
      <rPr>
        <sz val="10"/>
        <rFont val="Arial"/>
        <family val="2"/>
      </rPr>
      <t>-e</t>
    </r>
  </si>
  <si>
    <r>
      <t>CO</t>
    </r>
    <r>
      <rPr>
        <vertAlign val="subscript"/>
        <sz val="10"/>
        <rFont val="Arial"/>
        <family val="2"/>
      </rPr>
      <t>2</t>
    </r>
  </si>
  <si>
    <r>
      <t>CH</t>
    </r>
    <r>
      <rPr>
        <vertAlign val="subscript"/>
        <sz val="10"/>
        <rFont val="Arial"/>
        <family val="2"/>
      </rPr>
      <t>4</t>
    </r>
  </si>
  <si>
    <r>
      <t>N</t>
    </r>
    <r>
      <rPr>
        <vertAlign val="subscript"/>
        <sz val="10"/>
        <rFont val="Arial"/>
        <family val="2"/>
      </rPr>
      <t>2</t>
    </r>
    <r>
      <rPr>
        <sz val="10"/>
        <rFont val="Arial"/>
        <family val="2"/>
      </rPr>
      <t>O</t>
    </r>
  </si>
  <si>
    <t>This would mean checking what we use/recalculate for the time series (back to 2008?)</t>
  </si>
  <si>
    <t xml:space="preserve">past guidance has been same as sub bituminous as majority of domestic consumption has been of this type. Recent data shows it might be better to weight (like we do with petrol) as not as clear cut as it used to be. </t>
  </si>
  <si>
    <t>To weight numbers, use the figures in the line "total consumer energy (observed)" in the 2011 EDF (1990-2009) table C5 (page 40)</t>
  </si>
  <si>
    <t>Coal (commercial) - default</t>
  </si>
  <si>
    <t>Coal default</t>
  </si>
  <si>
    <t>Bituminous coal used</t>
  </si>
  <si>
    <t>Sub-Bituminous coal used</t>
  </si>
  <si>
    <t>Lignite coal used</t>
  </si>
  <si>
    <t>TJ</t>
  </si>
  <si>
    <r>
      <t>Emission factor CO</t>
    </r>
    <r>
      <rPr>
        <vertAlign val="subscript"/>
        <sz val="10"/>
        <rFont val="Arial"/>
        <family val="2"/>
      </rPr>
      <t>2</t>
    </r>
    <r>
      <rPr>
        <sz val="10"/>
        <rFont val="Arial"/>
        <family val="2"/>
      </rPr>
      <t xml:space="preserve">
(kg CO</t>
    </r>
    <r>
      <rPr>
        <vertAlign val="subscript"/>
        <sz val="10"/>
        <rFont val="Arial"/>
        <family val="2"/>
      </rPr>
      <t>2</t>
    </r>
    <r>
      <rPr>
        <sz val="10"/>
        <rFont val="Arial"/>
        <family val="2"/>
      </rPr>
      <t xml:space="preserve">/unit) </t>
    </r>
  </si>
  <si>
    <r>
      <t>Emission factor N</t>
    </r>
    <r>
      <rPr>
        <vertAlign val="subscript"/>
        <sz val="10"/>
        <rFont val="Arial"/>
        <family val="2"/>
      </rPr>
      <t>2</t>
    </r>
    <r>
      <rPr>
        <sz val="10"/>
        <rFont val="Arial"/>
        <family val="2"/>
      </rPr>
      <t>O
(kg CO</t>
    </r>
    <r>
      <rPr>
        <vertAlign val="subscript"/>
        <sz val="10"/>
        <rFont val="Arial"/>
        <family val="2"/>
      </rPr>
      <t>2</t>
    </r>
    <r>
      <rPr>
        <sz val="10"/>
        <rFont val="Arial"/>
        <family val="2"/>
      </rPr>
      <t xml:space="preserve">-e/unit) </t>
    </r>
  </si>
  <si>
    <t>Coal (industrial) - default</t>
  </si>
  <si>
    <t/>
  </si>
  <si>
    <t>Year</t>
  </si>
  <si>
    <t>Units: g/Wh is equivalent to kg/kWh</t>
  </si>
  <si>
    <t>Calendar  Year</t>
  </si>
  <si>
    <t>Residential</t>
  </si>
  <si>
    <t>Exclude Dairy</t>
  </si>
  <si>
    <t>Industrial</t>
  </si>
  <si>
    <t>Check</t>
  </si>
  <si>
    <t>Coal - Default*</t>
  </si>
  <si>
    <t>**  LPG-use data in litres can be converted to kilograms by miltiplying by the specific gravity of 0.536 kg/l.</t>
  </si>
  <si>
    <t>LPG**</t>
  </si>
  <si>
    <t>Industry***</t>
  </si>
  <si>
    <t>Fireplaces****</t>
  </si>
  <si>
    <t>Default coal factors are calculated by taking the weighted average of bituminous, sub-bituminous and lignite emissions factors, weighted by gross TJ of each used.</t>
  </si>
  <si>
    <t>Petrol - Default*</t>
  </si>
  <si>
    <t>Electricity EF (kg/kWh)</t>
  </si>
  <si>
    <r>
      <t>Direct thermal emissions (includes CH</t>
    </r>
    <r>
      <rPr>
        <vertAlign val="subscript"/>
        <sz val="10"/>
        <rFont val="Arial"/>
        <family val="2"/>
      </rPr>
      <t>4</t>
    </r>
    <r>
      <rPr>
        <sz val="10"/>
        <rFont val="Arial"/>
        <family val="2"/>
      </rPr>
      <t xml:space="preserve"> and N</t>
    </r>
    <r>
      <rPr>
        <vertAlign val="subscript"/>
        <sz val="10"/>
        <rFont val="Arial"/>
        <family val="2"/>
      </rPr>
      <t>2</t>
    </r>
    <r>
      <rPr>
        <sz val="10"/>
        <rFont val="Arial"/>
        <family val="2"/>
      </rPr>
      <t>O from biogas from landfills)</t>
    </r>
  </si>
  <si>
    <t>Source:</t>
  </si>
  <si>
    <t>Time Series: Electricity emissions (Gg CO2-e)</t>
  </si>
  <si>
    <r>
      <t>Natural Gas
Gg CO</t>
    </r>
    <r>
      <rPr>
        <b/>
        <vertAlign val="subscript"/>
        <sz val="10"/>
        <rFont val="Arial"/>
        <family val="2"/>
      </rPr>
      <t>2</t>
    </r>
    <r>
      <rPr>
        <b/>
        <sz val="10"/>
        <rFont val="Arial"/>
        <family val="2"/>
      </rPr>
      <t>-e</t>
    </r>
  </si>
  <si>
    <r>
      <t>Liquid Fuels
Gg CO</t>
    </r>
    <r>
      <rPr>
        <b/>
        <vertAlign val="subscript"/>
        <sz val="10"/>
        <rFont val="Arial"/>
        <family val="2"/>
      </rPr>
      <t>2</t>
    </r>
    <r>
      <rPr>
        <b/>
        <sz val="10"/>
        <rFont val="Arial"/>
        <family val="2"/>
      </rPr>
      <t>-e</t>
    </r>
  </si>
  <si>
    <r>
      <t>Coal
Gg CO</t>
    </r>
    <r>
      <rPr>
        <b/>
        <vertAlign val="subscript"/>
        <sz val="10"/>
        <rFont val="Arial"/>
        <family val="2"/>
      </rPr>
      <t>2</t>
    </r>
    <r>
      <rPr>
        <b/>
        <sz val="10"/>
        <rFont val="Arial"/>
        <family val="2"/>
      </rPr>
      <t>-e</t>
    </r>
  </si>
  <si>
    <r>
      <t>Total Thermal
Gg CO</t>
    </r>
    <r>
      <rPr>
        <b/>
        <vertAlign val="subscript"/>
        <sz val="10"/>
        <rFont val="Arial"/>
        <family val="2"/>
      </rPr>
      <t>2</t>
    </r>
    <r>
      <rPr>
        <b/>
        <sz val="10"/>
        <rFont val="Arial"/>
        <family val="2"/>
      </rPr>
      <t>-e</t>
    </r>
  </si>
  <si>
    <r>
      <t>Geothermal
Gg CO</t>
    </r>
    <r>
      <rPr>
        <b/>
        <vertAlign val="subscript"/>
        <sz val="10"/>
        <rFont val="Arial"/>
        <family val="2"/>
      </rPr>
      <t>2</t>
    </r>
    <r>
      <rPr>
        <b/>
        <sz val="10"/>
        <rFont val="Arial"/>
        <family val="2"/>
      </rPr>
      <t>-e</t>
    </r>
  </si>
  <si>
    <r>
      <t>Total
Gg CO</t>
    </r>
    <r>
      <rPr>
        <b/>
        <vertAlign val="subscript"/>
        <sz val="10"/>
        <rFont val="Arial"/>
        <family val="2"/>
      </rPr>
      <t>2</t>
    </r>
    <r>
      <rPr>
        <b/>
        <sz val="10"/>
        <rFont val="Arial"/>
        <family val="2"/>
      </rPr>
      <t>-e</t>
    </r>
  </si>
  <si>
    <t xml:space="preserve">*  The default coal emisson factor should be used if it is not possible to identify the specific type of coal. Note, the default for industrial use of coal does not include coal used by the dairy industry as it is expected this sector would know the type of coal it consumes. </t>
  </si>
  <si>
    <r>
      <t>Emission factor 
Total CO</t>
    </r>
    <r>
      <rPr>
        <vertAlign val="subscript"/>
        <sz val="10"/>
        <rFont val="Arial"/>
        <family val="2"/>
      </rPr>
      <t>2</t>
    </r>
    <r>
      <rPr>
        <sz val="10"/>
        <rFont val="Arial"/>
        <family val="2"/>
      </rPr>
      <t>-e
(kg CO</t>
    </r>
    <r>
      <rPr>
        <vertAlign val="subscript"/>
        <sz val="10"/>
        <rFont val="Arial"/>
        <family val="2"/>
      </rPr>
      <t>2</t>
    </r>
    <r>
      <rPr>
        <sz val="10"/>
        <rFont val="Arial"/>
        <family val="2"/>
      </rPr>
      <t xml:space="preserve">-e/unit) </t>
    </r>
  </si>
  <si>
    <t>Scope 2: Electricity</t>
  </si>
  <si>
    <t>Scope 1: Refrigerants</t>
  </si>
  <si>
    <t>Scope 1: Transport (by distance)</t>
  </si>
  <si>
    <t>Scope 1: Transport fuels</t>
  </si>
  <si>
    <t>Scope 3: Transmission and distribution losses</t>
  </si>
  <si>
    <t xml:space="preserve">Methodology: </t>
  </si>
  <si>
    <t xml:space="preserve">To get EF for transmission and distribution losses, EF for electricity generated is calculated and subtracted from the EF for electricity consumed. The EFs include emissions from </t>
  </si>
  <si>
    <t xml:space="preserve">Scope 3: Taxis and rental cars </t>
  </si>
  <si>
    <t>Scope 3: Air travel</t>
  </si>
  <si>
    <t>Scope 3: Waste to landfill</t>
  </si>
  <si>
    <t>R= Fraction recovered methane
(Average recovery (methane recovered/methane produced))</t>
  </si>
  <si>
    <t xml:space="preserve">To estimate real world fuel use for small, medium and large petrol vehicles : </t>
  </si>
  <si>
    <t xml:space="preserve">  - so estimated small vehicle economy is real world factor x ES etc</t>
  </si>
  <si>
    <t>Fuel test values</t>
  </si>
  <si>
    <t>Travel m.km</t>
  </si>
  <si>
    <t>"Real world factor" estimation</t>
  </si>
  <si>
    <t>x</t>
  </si>
  <si>
    <t>+</t>
  </si>
  <si>
    <t>)</t>
  </si>
  <si>
    <t>Table: Vehicle Usage within CC Rating Group by Year Breaks</t>
  </si>
  <si>
    <t>Database - MIA NZTA Sales Data: Jan 08 - Jul 11</t>
  </si>
  <si>
    <t>Year Breaks</t>
  </si>
  <si>
    <t>Vehicle Usage</t>
  </si>
  <si>
    <t>Calendar 11</t>
  </si>
  <si>
    <t>Calendar 10</t>
  </si>
  <si>
    <t>rentals (10)</t>
  </si>
  <si>
    <t>taxis (10)</t>
  </si>
  <si>
    <t>Calendar 09</t>
  </si>
  <si>
    <t>Under 1550CC</t>
  </si>
  <si>
    <t>   Total</t>
  </si>
  <si>
    <t>   Taxi Commercial Passenger</t>
  </si>
  <si>
    <t>   Rental</t>
  </si>
  <si>
    <t>1551 - 1750CC</t>
  </si>
  <si>
    <t>1751 - 2150CC</t>
  </si>
  <si>
    <t>2151 - 2500CC</t>
  </si>
  <si>
    <t>2501 - 3000CC</t>
  </si>
  <si>
    <t>Over 3000CC</t>
  </si>
  <si>
    <t>TOTAL</t>
  </si>
  <si>
    <t>Vehicles entering the light fleet, by engine size band and new/used import</t>
  </si>
  <si>
    <t>NZ new &lt; 1350</t>
  </si>
  <si>
    <t>NZ new 1350-1599</t>
  </si>
  <si>
    <t>NZ new 1600-1999</t>
  </si>
  <si>
    <t>NZ new 2000-2999</t>
  </si>
  <si>
    <t>NZ new 3000-3999</t>
  </si>
  <si>
    <t>NZ new 4000+</t>
  </si>
  <si>
    <t>Used import &lt; 1350</t>
  </si>
  <si>
    <t>Used import 1350-1599</t>
  </si>
  <si>
    <t>Used import 1600-1999</t>
  </si>
  <si>
    <t>Used import 2000-2999</t>
  </si>
  <si>
    <t>Used import 3000-3999</t>
  </si>
  <si>
    <t>Used import 4000+</t>
  </si>
  <si>
    <t>total</t>
  </si>
  <si>
    <t>small(&lt;1600)</t>
  </si>
  <si>
    <t>med (1600-3000)</t>
  </si>
  <si>
    <t>large (&gt;3000)</t>
  </si>
  <si>
    <t>Assumptions:</t>
  </si>
  <si>
    <t>1600-3000 cc</t>
  </si>
  <si>
    <t>&lt;1600 cc</t>
  </si>
  <si>
    <r>
      <t>Emission factor
      CO</t>
    </r>
    <r>
      <rPr>
        <b/>
        <vertAlign val="subscript"/>
        <sz val="10"/>
        <rFont val="Arial"/>
        <family val="2"/>
      </rPr>
      <t>2</t>
    </r>
    <r>
      <rPr>
        <b/>
        <sz val="10"/>
        <rFont val="Arial"/>
        <family val="2"/>
      </rPr>
      <t xml:space="preserve">
(kg CO</t>
    </r>
    <r>
      <rPr>
        <b/>
        <vertAlign val="subscript"/>
        <sz val="10"/>
        <rFont val="Arial"/>
        <family val="2"/>
      </rPr>
      <t>2</t>
    </r>
    <r>
      <rPr>
        <b/>
        <sz val="10"/>
        <rFont val="Arial"/>
        <family val="2"/>
      </rPr>
      <t xml:space="preserve">/unit) </t>
    </r>
  </si>
  <si>
    <r>
      <t>Emission factor
        CH</t>
    </r>
    <r>
      <rPr>
        <b/>
        <vertAlign val="subscript"/>
        <sz val="10"/>
        <rFont val="Arial"/>
        <family val="2"/>
      </rPr>
      <t>4</t>
    </r>
    <r>
      <rPr>
        <b/>
        <sz val="10"/>
        <rFont val="Arial"/>
        <family val="2"/>
      </rPr>
      <t xml:space="preserve">
(kg CO</t>
    </r>
    <r>
      <rPr>
        <b/>
        <vertAlign val="subscript"/>
        <sz val="10"/>
        <rFont val="Arial"/>
        <family val="2"/>
      </rPr>
      <t>2</t>
    </r>
    <r>
      <rPr>
        <b/>
        <sz val="10"/>
        <rFont val="Arial"/>
        <family val="2"/>
      </rPr>
      <t xml:space="preserve">-e/unit) </t>
    </r>
  </si>
  <si>
    <r>
      <t>Emission factor
        N</t>
    </r>
    <r>
      <rPr>
        <b/>
        <vertAlign val="subscript"/>
        <sz val="10"/>
        <rFont val="Arial"/>
        <family val="2"/>
      </rPr>
      <t>2</t>
    </r>
    <r>
      <rPr>
        <b/>
        <sz val="10"/>
        <rFont val="Arial"/>
        <family val="2"/>
      </rPr>
      <t>O
(kg CO</t>
    </r>
    <r>
      <rPr>
        <b/>
        <vertAlign val="subscript"/>
        <sz val="10"/>
        <rFont val="Arial"/>
        <family val="2"/>
      </rPr>
      <t>2</t>
    </r>
    <r>
      <rPr>
        <b/>
        <sz val="10"/>
        <rFont val="Arial"/>
        <family val="2"/>
      </rPr>
      <t xml:space="preserve">-e/unit) </t>
    </r>
  </si>
  <si>
    <t>Background data</t>
  </si>
  <si>
    <t>&gt;3000 cc</t>
  </si>
  <si>
    <t>large vehicle</t>
  </si>
  <si>
    <t>medium vehicle</t>
  </si>
  <si>
    <t>small vehicle</t>
  </si>
  <si>
    <t>medium = 1551-3000 cc</t>
  </si>
  <si>
    <t>large = over 3000 cc</t>
  </si>
  <si>
    <t xml:space="preserve">Taxis </t>
  </si>
  <si>
    <r>
      <t>Includes emissions from thermal electricity generation (and non CO</t>
    </r>
    <r>
      <rPr>
        <vertAlign val="subscript"/>
        <sz val="10"/>
        <rFont val="Arial"/>
        <family val="2"/>
      </rPr>
      <t>2</t>
    </r>
    <r>
      <rPr>
        <sz val="10"/>
        <rFont val="Arial"/>
        <family val="2"/>
      </rPr>
      <t xml:space="preserve"> emissions from biogas), plus fugitive emissions from geothermal </t>
    </r>
  </si>
  <si>
    <r>
      <t>Biomass (biogas)
Gg CO</t>
    </r>
    <r>
      <rPr>
        <b/>
        <vertAlign val="subscript"/>
        <sz val="10"/>
        <rFont val="Arial"/>
        <family val="2"/>
      </rPr>
      <t>2</t>
    </r>
    <r>
      <rPr>
        <b/>
        <sz val="10"/>
        <rFont val="Arial"/>
        <family val="2"/>
      </rPr>
      <t>-e</t>
    </r>
  </si>
  <si>
    <r>
      <t>Emission factor Total CO</t>
    </r>
    <r>
      <rPr>
        <b/>
        <vertAlign val="subscript"/>
        <sz val="10"/>
        <rFont val="Arial"/>
        <family val="2"/>
      </rPr>
      <t>2</t>
    </r>
    <r>
      <rPr>
        <b/>
        <sz val="10"/>
        <rFont val="Arial"/>
        <family val="2"/>
      </rPr>
      <t>-e</t>
    </r>
  </si>
  <si>
    <r>
      <t>(kg CO</t>
    </r>
    <r>
      <rPr>
        <b/>
        <vertAlign val="subscript"/>
        <sz val="10"/>
        <rFont val="Arial"/>
        <family val="2"/>
      </rPr>
      <t>2</t>
    </r>
    <r>
      <rPr>
        <b/>
        <sz val="10"/>
        <rFont val="Arial"/>
        <family val="2"/>
      </rPr>
      <t>-e/unit)</t>
    </r>
  </si>
  <si>
    <r>
      <t>CH</t>
    </r>
    <r>
      <rPr>
        <b/>
        <vertAlign val="subscript"/>
        <sz val="10"/>
        <rFont val="Arial"/>
        <family val="2"/>
      </rPr>
      <t>4</t>
    </r>
    <r>
      <rPr>
        <b/>
        <sz val="10"/>
        <rFont val="Arial"/>
        <family val="2"/>
      </rPr>
      <t xml:space="preserve"> kg (CO</t>
    </r>
    <r>
      <rPr>
        <vertAlign val="subscript"/>
        <sz val="10"/>
        <rFont val="Arial"/>
        <family val="2"/>
      </rPr>
      <t>2-</t>
    </r>
    <r>
      <rPr>
        <sz val="10"/>
        <rFont val="Arial"/>
        <family val="2"/>
      </rPr>
      <t>e per unit)</t>
    </r>
  </si>
  <si>
    <r>
      <t>N</t>
    </r>
    <r>
      <rPr>
        <b/>
        <vertAlign val="subscript"/>
        <sz val="10"/>
        <rFont val="Arial"/>
        <family val="2"/>
      </rPr>
      <t>2</t>
    </r>
    <r>
      <rPr>
        <b/>
        <sz val="10"/>
        <rFont val="Arial"/>
        <family val="2"/>
      </rPr>
      <t>O (kg CO</t>
    </r>
    <r>
      <rPr>
        <vertAlign val="subscript"/>
        <sz val="10"/>
        <rFont val="Arial"/>
        <family val="2"/>
      </rPr>
      <t>2-</t>
    </r>
    <r>
      <rPr>
        <sz val="10"/>
        <rFont val="Arial"/>
        <family val="2"/>
      </rPr>
      <t>e per unit)</t>
    </r>
  </si>
  <si>
    <t>Vehicle Class Size *</t>
  </si>
  <si>
    <t>Car - Default **</t>
  </si>
  <si>
    <t>Background information</t>
  </si>
  <si>
    <t>Rental car - Default *</t>
  </si>
  <si>
    <t>* The default emission factor should be used if the vehicle size class of rental cars cannot be determined.</t>
  </si>
  <si>
    <t>also could we get info for trucks/heavy vehicles? No, no data available-correspondence with Stuart Badger</t>
  </si>
  <si>
    <t>Calendar 07</t>
  </si>
  <si>
    <t>Calendar 08</t>
  </si>
  <si>
    <t>rentals (09)</t>
  </si>
  <si>
    <t>taxis (09)</t>
  </si>
  <si>
    <t>rentals (08)</t>
  </si>
  <si>
    <t>taxis (08)</t>
  </si>
  <si>
    <t>rentals (07)</t>
  </si>
  <si>
    <t>taxis (07)</t>
  </si>
  <si>
    <t>Emission factors</t>
  </si>
  <si>
    <t>CO2-e</t>
  </si>
  <si>
    <t>Carbon Dioxide equivalent</t>
  </si>
  <si>
    <t>Gas reticulated (GJ)</t>
  </si>
  <si>
    <t>Petrol CO2 (kg CO2/litre)</t>
  </si>
  <si>
    <t>Petrol CH4  (kg CO2-e /litre)</t>
  </si>
  <si>
    <t>Petrol N2O (kg CO2-e/litre)</t>
  </si>
  <si>
    <t>Gas reticulated (total)</t>
  </si>
  <si>
    <t>Transmission losses (kg)</t>
  </si>
  <si>
    <t>[Note: unit conversion factor (GJ to kWh) is: 0.0036]</t>
  </si>
  <si>
    <t>Scope 1: Fuel combustion</t>
  </si>
  <si>
    <t>Source for default petrol calculation:</t>
  </si>
  <si>
    <r>
      <t>Emission factor 
 Total CO</t>
    </r>
    <r>
      <rPr>
        <vertAlign val="subscript"/>
        <sz val="10"/>
        <rFont val="Arial"/>
        <family val="2"/>
      </rPr>
      <t>2</t>
    </r>
    <r>
      <rPr>
        <sz val="10"/>
        <rFont val="Arial"/>
        <family val="2"/>
      </rPr>
      <t>-e
(kg CO</t>
    </r>
    <r>
      <rPr>
        <vertAlign val="subscript"/>
        <sz val="10"/>
        <rFont val="Arial"/>
        <family val="2"/>
      </rPr>
      <t>2</t>
    </r>
    <r>
      <rPr>
        <sz val="10"/>
        <rFont val="Arial"/>
        <family val="2"/>
      </rPr>
      <t xml:space="preserve">-e/unit) </t>
    </r>
  </si>
  <si>
    <r>
      <t>Emission factor
      CO</t>
    </r>
    <r>
      <rPr>
        <vertAlign val="subscript"/>
        <sz val="10"/>
        <rFont val="Arial"/>
        <family val="2"/>
      </rPr>
      <t>2</t>
    </r>
    <r>
      <rPr>
        <sz val="10"/>
        <rFont val="Arial"/>
        <family val="2"/>
      </rPr>
      <t xml:space="preserve">
(kg CO</t>
    </r>
    <r>
      <rPr>
        <vertAlign val="subscript"/>
        <sz val="10"/>
        <rFont val="Arial"/>
        <family val="2"/>
      </rPr>
      <t>2</t>
    </r>
    <r>
      <rPr>
        <sz val="10"/>
        <rFont val="Arial"/>
        <family val="2"/>
      </rPr>
      <t xml:space="preserve">/unit) </t>
    </r>
  </si>
  <si>
    <r>
      <t>Emission factor
      CH</t>
    </r>
    <r>
      <rPr>
        <vertAlign val="subscript"/>
        <sz val="10"/>
        <rFont val="Arial"/>
        <family val="2"/>
      </rPr>
      <t>4</t>
    </r>
    <r>
      <rPr>
        <sz val="10"/>
        <rFont val="Arial"/>
        <family val="2"/>
      </rPr>
      <t xml:space="preserve">
(kg CO</t>
    </r>
    <r>
      <rPr>
        <vertAlign val="subscript"/>
        <sz val="10"/>
        <rFont val="Arial"/>
        <family val="2"/>
      </rPr>
      <t>2</t>
    </r>
    <r>
      <rPr>
        <sz val="10"/>
        <rFont val="Arial"/>
        <family val="2"/>
      </rPr>
      <t xml:space="preserve">-e/unit) </t>
    </r>
  </si>
  <si>
    <r>
      <t>Emission factor
      N</t>
    </r>
    <r>
      <rPr>
        <vertAlign val="subscript"/>
        <sz val="10"/>
        <rFont val="Arial"/>
        <family val="2"/>
      </rPr>
      <t>2</t>
    </r>
    <r>
      <rPr>
        <sz val="10"/>
        <rFont val="Arial"/>
        <family val="2"/>
      </rPr>
      <t>O
(kg CO</t>
    </r>
    <r>
      <rPr>
        <vertAlign val="subscript"/>
        <sz val="10"/>
        <rFont val="Arial"/>
        <family val="2"/>
      </rPr>
      <t>2</t>
    </r>
    <r>
      <rPr>
        <sz val="10"/>
        <rFont val="Arial"/>
        <family val="2"/>
      </rPr>
      <t xml:space="preserve">-e/unit) </t>
    </r>
  </si>
  <si>
    <r>
      <t>Recovered 
methane from landfills with gas capture per
 year (Gg CH</t>
    </r>
    <r>
      <rPr>
        <vertAlign val="subscript"/>
        <sz val="10"/>
        <rFont val="Arial"/>
        <family val="2"/>
      </rPr>
      <t>4</t>
    </r>
    <r>
      <rPr>
        <sz val="10"/>
        <rFont val="Arial"/>
        <family val="2"/>
      </rPr>
      <t>)</t>
    </r>
  </si>
  <si>
    <r>
      <t>Gross annual
methane
produced from landfills with gas capture
(Gg CH</t>
    </r>
    <r>
      <rPr>
        <vertAlign val="subscript"/>
        <sz val="10"/>
        <rFont val="Arial"/>
        <family val="2"/>
      </rPr>
      <t>4</t>
    </r>
    <r>
      <rPr>
        <sz val="10"/>
        <rFont val="Arial"/>
        <family val="2"/>
      </rPr>
      <t>)</t>
    </r>
  </si>
  <si>
    <t>Methane generation potential</t>
  </si>
  <si>
    <t>((0.536 * 0.4) + (0.208 * 0.15) + (0 * 0.3)) * 0.5 * 0.5 * 16/12) *     (1-0.1) * 21</t>
  </si>
  <si>
    <t>Other parameters</t>
  </si>
  <si>
    <r>
      <t xml:space="preserve">1 </t>
    </r>
    <r>
      <rPr>
        <sz val="10"/>
        <rFont val="Arial"/>
        <family val="2"/>
      </rPr>
      <t>In the absence of consistent information for New Zealand, the default assumption for the assembly (installation) emissions rate is the rounded off IPCC 2006 mid-range value. It is not applicable (relevant) for many pre-charged units.</t>
    </r>
  </si>
  <si>
    <t>Scope 1 EFs - Stationary fuel combustion</t>
  </si>
  <si>
    <t>Scope 1 - Uncertainties</t>
  </si>
  <si>
    <t>Scope 1 EFs - Transport fuels</t>
  </si>
  <si>
    <t>Scope 1 EFs - Transport by distance</t>
  </si>
  <si>
    <t>Scope 1 EFs - Refrigerants</t>
  </si>
  <si>
    <t>Scope 2 EFs - Electricity</t>
  </si>
  <si>
    <t>Scope 3 EFs - Transmission and distribution losses</t>
  </si>
  <si>
    <t>Scope 3 EFs - Taxis and rental cars</t>
  </si>
  <si>
    <t>Scope 3 EFs - Air travel</t>
  </si>
  <si>
    <t>Scope 3 EFs - Waste to landfill</t>
  </si>
  <si>
    <t>Transport - background data</t>
  </si>
  <si>
    <t>Scope 1 emission factors</t>
  </si>
  <si>
    <t>Scope 2 emission factors</t>
  </si>
  <si>
    <t>Scope 3 emission factors</t>
  </si>
  <si>
    <t>Background tables</t>
  </si>
  <si>
    <t>Calorific values and derivation of emission factors for scope 1 (stationary fuel combustion and transport)</t>
  </si>
  <si>
    <t>Coal (residential) - default</t>
  </si>
  <si>
    <t>http://www.med.govt.nz/sectors-industries/energy/energy-modelling/publications/energy-greenhouse-gas-emissions</t>
  </si>
  <si>
    <t>Average</t>
  </si>
  <si>
    <t>Economy class</t>
  </si>
  <si>
    <t>Business class</t>
  </si>
  <si>
    <t>Premium economy class</t>
  </si>
  <si>
    <t>First class</t>
  </si>
  <si>
    <t>Cabin Class</t>
  </si>
  <si>
    <t xml:space="preserve">  - the real world factor comes from the fleet statistics, tab 1.9</t>
  </si>
  <si>
    <t>Electricity generation</t>
  </si>
  <si>
    <t>Electricity consumption</t>
  </si>
  <si>
    <t>Ministry of Business, Innovation and Employment</t>
  </si>
  <si>
    <t>(0.15 * 0.5 * 0.5 * 16/12) * (1-0.1) * 21</t>
  </si>
  <si>
    <t>EF (excluding T&amp;D losses)</t>
  </si>
  <si>
    <t>EF (including T&amp;D losses)</t>
  </si>
  <si>
    <r>
      <t>kg CO</t>
    </r>
    <r>
      <rPr>
        <vertAlign val="subscript"/>
        <sz val="10"/>
        <rFont val="Arial"/>
        <family val="2"/>
      </rPr>
      <t>2</t>
    </r>
    <r>
      <rPr>
        <sz val="10"/>
        <rFont val="Arial"/>
        <family val="2"/>
      </rPr>
      <t>-e/$ = kg CO</t>
    </r>
    <r>
      <rPr>
        <vertAlign val="subscript"/>
        <sz val="10"/>
        <rFont val="Arial"/>
        <family val="2"/>
      </rPr>
      <t>2</t>
    </r>
    <r>
      <rPr>
        <sz val="10"/>
        <rFont val="Arial"/>
        <family val="2"/>
      </rPr>
      <t>-e/km /  $/km</t>
    </r>
  </si>
  <si>
    <t>MBIE</t>
  </si>
  <si>
    <t>2012 calendar year greenhouse gas voluntary guidance</t>
  </si>
  <si>
    <t>ENZ</t>
  </si>
  <si>
    <t>Energy in New Zealand 2013</t>
  </si>
  <si>
    <t>http://www.med.govt.nz/sectors-industries/energy/energy-modelling/publications/energy-in-new-zealand-2013</t>
  </si>
  <si>
    <t xml:space="preserve">Coal Consumption - Sectorial Breakdown for 2012 (TJ) (Table 6) </t>
  </si>
  <si>
    <t>Fuel combustion emission factors (transport fuels) – 2012</t>
  </si>
  <si>
    <t xml:space="preserve">Energy in New Zealand 2013 (web tables) </t>
  </si>
  <si>
    <t xml:space="preserve">Oil supply, transformation and demand (gross petajoules - PJ) </t>
  </si>
  <si>
    <t>Transport emission factors (based on distance travelled) – 2012</t>
  </si>
  <si>
    <t>Fuel combustion emision factors (fuels used for stationary combustion) - 2012</t>
  </si>
  <si>
    <t>***  It is not expected that many commercial or industrial users will burn wood in fireplaces but this emisson factor has been provided for completeness. It is the default residential emission factor.</t>
  </si>
  <si>
    <t>Scope 1 stationary combustion: uncertainties - 2012</t>
  </si>
  <si>
    <t>CO2</t>
  </si>
  <si>
    <t>CH4</t>
  </si>
  <si>
    <t>N2O</t>
  </si>
  <si>
    <t>Solid</t>
  </si>
  <si>
    <t>Based on a National Average Tariff of
$2.80 per km.</t>
  </si>
  <si>
    <t>Emission factors for travel in taxis and rental cars (based on distance travelled) – 2012</t>
  </si>
  <si>
    <t>Source for default coal calculations:</t>
  </si>
  <si>
    <t>Calendar 12</t>
  </si>
  <si>
    <t>rentals (12)</t>
  </si>
  <si>
    <t>taxis (12)</t>
  </si>
  <si>
    <t>rentals (11)</t>
  </si>
  <si>
    <t>taxis (11)</t>
  </si>
  <si>
    <t xml:space="preserve">Average of calendar years (2007-2012) </t>
  </si>
  <si>
    <t xml:space="preserve">Average of calendar years (2007-2012) Rentals </t>
  </si>
  <si>
    <t>Average of calendar years (2007-2012) Taxis</t>
  </si>
  <si>
    <t>small = under 1550 cc</t>
  </si>
  <si>
    <t>Base: Calendar 12, Calendar 11, Calendar 10 or Calendar 09 (Year Breaks) and Taxi Commercial Passenger or Rental (Vehicle Usage)</t>
  </si>
  <si>
    <t>2012 light petrol fleet average</t>
  </si>
  <si>
    <t>Therefore 9.82 x total_travel = real_world_factor x (</t>
  </si>
  <si>
    <t>Emission factors for waste to landfill - 2012</t>
  </si>
  <si>
    <t>(0.4 * 0.5 * 0.5 * 16/12) * (1-0.636) * (1-0.1) * 21</t>
  </si>
  <si>
    <t>(0.15 * 0.5 * 0.5 * 16/12) * (1-0.636) * (1-0.1) * 21</t>
  </si>
  <si>
    <t>(0.3 * 0.5 * 0.5 * 16/12) * (1-0.636) *(1-0.1) * 21</t>
  </si>
  <si>
    <t>0.0528 * (1-0.1) * 21</t>
  </si>
  <si>
    <t>0.0528 * (1-0.636) * (1-0.1) * 21</t>
  </si>
  <si>
    <t>((0.536 * 0.4) + (0.208 * 0.15 + (0 * 0.3)) * 0.5 * 0.5 * (16/12) *    (1-0.636) * (1-0.1) * 21</t>
  </si>
  <si>
    <t>Without RF</t>
  </si>
  <si>
    <t>Emission Factors AR4 GWPs</t>
  </si>
  <si>
    <t xml:space="preserve">AR4/SAR </t>
  </si>
  <si>
    <t xml:space="preserve">SAR </t>
  </si>
  <si>
    <t xml:space="preserve">AR4 </t>
  </si>
  <si>
    <t>100-year GWPs</t>
  </si>
  <si>
    <t>Table 2.14</t>
  </si>
  <si>
    <t xml:space="preserve">*Hydrocarbons (R290 and R600a) and hydrochloroflurocarbons (mainly R22) are not considered to have GWPs for GHG accounting purposes. </t>
  </si>
  <si>
    <t>(0.4 * 0.5 * 0.5 * 16/12) * (1-0.1) * 25</t>
  </si>
  <si>
    <t>(0.15 * 0.5 * 0.5 * 16/12) * (1-0.1) * 25</t>
  </si>
  <si>
    <t>(0.3 * 0.5 * 0.5 * 16/12) * (1-0.1) * 25</t>
  </si>
  <si>
    <t>(0.4 * 0.5 * 0.5 * 16/12) * (1-0.636) * (1-0.1) * 25</t>
  </si>
  <si>
    <t>(0.15 * 0.5 * 0.5 * 16/12) * (1-0.636) * (1-0.1) * 25</t>
  </si>
  <si>
    <t>(0.3 * 0.5 * 0.5 * 16/12) * (1-0.636) *(1-0.1) * 25</t>
  </si>
  <si>
    <t>0.0528 * (1-0.1) * 25</t>
  </si>
  <si>
    <t>((0.536 * 0.4) + (0.208 * 0.15) + (0 * 0.3)) * 0.5 * 0.5 * 16/12) *     (1-0.1) * 25</t>
  </si>
  <si>
    <t>0.0528 * (1-0.636) * (1-0.1) * 25</t>
  </si>
  <si>
    <t>((0.536 * 0.4) + (0.208 * 0.15 + (0 * 0.3)) * 0.5 * 0.5 * (16/12) *    (1-0.636) * (1-0.1) * 25</t>
  </si>
  <si>
    <t xml:space="preserve">Taken from MBIE  emissions factors. </t>
  </si>
  <si>
    <t>Emission factor for the consumption of purchased electricity – 2012</t>
  </si>
  <si>
    <t>Transmission and distribution line losses for purchased electricity emission factor – 2012</t>
  </si>
  <si>
    <t>Transmission and distribution losses for natural gas emission factor - 2012</t>
  </si>
  <si>
    <t xml:space="preserve">Geothermal emissions </t>
  </si>
  <si>
    <t xml:space="preserve">Direct thermal emissions </t>
  </si>
  <si>
    <t xml:space="preserve">Transmission losses for natural gas </t>
  </si>
  <si>
    <t xml:space="preserve">Electricity produced (total net production)
</t>
  </si>
  <si>
    <r>
      <t xml:space="preserve"> CO</t>
    </r>
    <r>
      <rPr>
        <b/>
        <vertAlign val="subscript"/>
        <sz val="10"/>
        <rFont val="Arial"/>
        <family val="2"/>
      </rPr>
      <t>2</t>
    </r>
  </si>
  <si>
    <r>
      <t>CH</t>
    </r>
    <r>
      <rPr>
        <b/>
        <vertAlign val="subscript"/>
        <sz val="10"/>
        <rFont val="Arial"/>
        <family val="2"/>
      </rPr>
      <t>4</t>
    </r>
  </si>
  <si>
    <r>
      <t>N</t>
    </r>
    <r>
      <rPr>
        <b/>
        <vertAlign val="subscript"/>
        <sz val="10"/>
        <rFont val="Arial"/>
        <family val="2"/>
      </rPr>
      <t>2</t>
    </r>
    <r>
      <rPr>
        <b/>
        <sz val="10"/>
        <rFont val="Arial"/>
        <family val="2"/>
      </rPr>
      <t>O</t>
    </r>
  </si>
  <si>
    <t xml:space="preserve">NOTE:  Emission factors have been calculated using AR4 GWPs </t>
  </si>
  <si>
    <t>GWP 100yr</t>
  </si>
  <si>
    <t xml:space="preserve">NOTE:  Total GWP has been calculated using AR4 GWPs </t>
  </si>
  <si>
    <t xml:space="preserve">CO2-e (AR4) </t>
  </si>
  <si>
    <t xml:space="preserve">Source for AR4 GWPs: </t>
  </si>
  <si>
    <t>Climate Change 2007: The Physical Science Basis</t>
  </si>
  <si>
    <t xml:space="preserve">Climate Change 2007: The Physical Science Basis </t>
  </si>
  <si>
    <t xml:space="preserve">Climate Change 2007: The Pysical Science Basis </t>
  </si>
  <si>
    <t xml:space="preserve">Source: New Zealand Annual Vehicle Fleet Statistics </t>
  </si>
  <si>
    <t>[1] Source for AR4 GWPs: https://www.ipcc.ch/pdf/assessment-report/ar4/wg1/ar4-wg1-chapter2.pdf</t>
  </si>
  <si>
    <t xml:space="preserve">production from the NZEGGE, divided by total electricity generated (ENZ) </t>
  </si>
  <si>
    <t>production from the NZEGGE, divided by total electricity generated (ENZ)</t>
  </si>
  <si>
    <t>thermal electricity generation, plus fugitive emissions from geothermal production from the NZEGGE divided by total electrcitiy generated (ENZ)</t>
  </si>
  <si>
    <t>Taken from MBIE emissions factors</t>
  </si>
  <si>
    <t xml:space="preserve">thermal electricity generation, plus fugitive emissions from geothermal production from the NZEGGE divided by total electrcitiy generated (ENZ) </t>
  </si>
  <si>
    <t xml:space="preserve">Absolute Uncertainty CO2
(kg CO2/unit) </t>
  </si>
  <si>
    <t>*  The default petrol emission factor should be used if it is not possible to distinguish between regular and premium petrol use.</t>
  </si>
  <si>
    <t>Default petrol factor is calculated by taking the weighted average of regular and premium emissions factors weighted by PJ of each used.</t>
  </si>
  <si>
    <t>These worksheets contain the emission factors and their workings for the 2012 calendar year.</t>
  </si>
  <si>
    <t>Rental car and taxi by engine size</t>
  </si>
  <si>
    <t xml:space="preserve">New Zealand Energy Greenhouse Gas Emissions </t>
  </si>
  <si>
    <r>
      <t>****  The total CO</t>
    </r>
    <r>
      <rPr>
        <vertAlign val="subscript"/>
        <sz val="10"/>
        <rFont val="Arial"/>
        <family val="2"/>
      </rPr>
      <t>2</t>
    </r>
    <r>
      <rPr>
        <sz val="10"/>
        <rFont val="Arial"/>
        <family val="2"/>
      </rPr>
      <t>-e emission factor for wood only includes CH</t>
    </r>
    <r>
      <rPr>
        <vertAlign val="subscript"/>
        <sz val="10"/>
        <rFont val="Arial"/>
        <family val="2"/>
      </rPr>
      <t>4</t>
    </r>
    <r>
      <rPr>
        <sz val="10"/>
        <rFont val="Arial"/>
        <family val="2"/>
      </rPr>
      <t xml:space="preserve"> and N</t>
    </r>
    <r>
      <rPr>
        <vertAlign val="subscript"/>
        <sz val="10"/>
        <rFont val="Arial"/>
        <family val="2"/>
      </rPr>
      <t>2</t>
    </r>
    <r>
      <rPr>
        <sz val="10"/>
        <rFont val="Arial"/>
        <family val="2"/>
      </rPr>
      <t xml:space="preserve">O emissions. This is based on </t>
    </r>
    <r>
      <rPr>
        <i/>
        <sz val="10"/>
        <rFont val="Arial"/>
        <family val="2"/>
      </rPr>
      <t>ISO 14064-1</t>
    </r>
    <r>
      <rPr>
        <sz val="10"/>
        <rFont val="Arial"/>
        <family val="2"/>
      </rPr>
      <t xml:space="preserve"> and </t>
    </r>
    <r>
      <rPr>
        <i/>
        <sz val="10"/>
        <rFont val="Arial"/>
        <family val="2"/>
      </rPr>
      <t>The GHG Protocol</t>
    </r>
    <r>
      <rPr>
        <sz val="10"/>
        <rFont val="Arial"/>
        <family val="2"/>
      </rPr>
      <t xml:space="preserve"> reporting requirements for combustion of biomass as scope 1 emissions. CO</t>
    </r>
    <r>
      <rPr>
        <vertAlign val="subscript"/>
        <sz val="10"/>
        <rFont val="Arial"/>
        <family val="2"/>
      </rPr>
      <t>2</t>
    </r>
    <r>
      <rPr>
        <sz val="10"/>
        <rFont val="Arial"/>
        <family val="2"/>
      </rPr>
      <t xml:space="preserve"> emissions from the combustion of biologically sequestered carbon are reported separately.</t>
    </r>
  </si>
  <si>
    <t>Car - Medium (1600 - 2500 cc)</t>
  </si>
  <si>
    <t>* Example (representative) vehicle models for each of the size classes are: Small = Toyota Echo, Medium = Honda Accord, Large = Holden Commodore.</t>
  </si>
  <si>
    <t>** The default emission factor should be used if vehicle size class can not be determined.</t>
  </si>
  <si>
    <t>Car - Medium (Default) (1600 - 2500cc)</t>
  </si>
  <si>
    <r>
      <rPr>
        <vertAlign val="superscript"/>
        <sz val="10"/>
        <rFont val="Arial"/>
        <family val="2"/>
      </rPr>
      <t xml:space="preserve">[1] </t>
    </r>
    <r>
      <rPr>
        <sz val="10"/>
        <rFont val="Arial"/>
        <family val="2"/>
      </rPr>
      <t xml:space="preserve">For consistency, until 2012 global warming potentials are set according to the </t>
    </r>
    <r>
      <rPr>
        <i/>
        <sz val="10"/>
        <rFont val="Arial"/>
        <family val="2"/>
      </rPr>
      <t>Revised 1996 IPCC Guidelines for National Greenhouse Gas Inventories</t>
    </r>
    <r>
      <rPr>
        <sz val="10"/>
        <rFont val="Arial"/>
        <family val="2"/>
      </rPr>
      <t>, Intergovernmental Panel on Climate Change www.ipcc.ch.</t>
    </r>
  </si>
  <si>
    <t>Rental car - Medium (1600 - 2500cc)</t>
  </si>
  <si>
    <t>Real world petrol fuel use estimate (L/100km)</t>
  </si>
  <si>
    <r>
      <t>Emission Factors
Kg CO</t>
    </r>
    <r>
      <rPr>
        <b/>
        <vertAlign val="subscript"/>
        <sz val="10"/>
        <rFont val="Arial"/>
        <family val="2"/>
      </rPr>
      <t>2</t>
    </r>
    <r>
      <rPr>
        <b/>
        <sz val="10"/>
        <rFont val="Arial"/>
        <family val="2"/>
      </rPr>
      <t>e/unit</t>
    </r>
  </si>
  <si>
    <t>Data input unit</t>
  </si>
  <si>
    <t xml:space="preserve">Real World Estimated Petrol Use : 2009-2012 NZ new light cars, vans, utes, SUVs </t>
  </si>
  <si>
    <t>real world factor=</t>
  </si>
  <si>
    <t>NZ new light vehicles have had a Euro emissions dyno test fuel value recorded since March 2005. These are lower than their real world usage.</t>
  </si>
  <si>
    <t xml:space="preserve">  - assume the real world rates are in proportion to the test cycle rates:</t>
  </si>
  <si>
    <t xml:space="preserve">  - establish the average test cycle petrol economy rates for small, medium and large light vehicles (ES, EM and EL) and the total distance they covered </t>
  </si>
  <si>
    <t xml:space="preserve">     in 2012 (DS, DM and DL)</t>
  </si>
  <si>
    <t xml:space="preserve">    ie  real world factor x (ESxDS + EMxDM + ELxDL) = 9.82 x total light vehicle distance,  where 9.82 L/100km is the light fleet average</t>
  </si>
  <si>
    <t xml:space="preserve">     ie tested fuel use x real world factor = real world fuel use</t>
  </si>
  <si>
    <t>Fireplaces</t>
  </si>
  <si>
    <t xml:space="preserve">2013 publication (1990-2012) </t>
  </si>
  <si>
    <t xml:space="preserve">Rounding to 3 significant figures. Uncertainties included to give sense of accuracy/sensitivity. See the tab 'scope 1 uncertainties' for uncertanities by individual gas.
</t>
  </si>
</sst>
</file>

<file path=xl/styles.xml><?xml version="1.0" encoding="utf-8"?>
<styleSheet xmlns="http://schemas.openxmlformats.org/spreadsheetml/2006/main" xmlns:mc="http://schemas.openxmlformats.org/markup-compatibility/2006" xmlns:x14ac="http://schemas.microsoft.com/office/spreadsheetml/2009/9/ac" mc:Ignorable="x14ac">
  <numFmts count="44">
    <numFmt numFmtId="164" formatCode="_(* #,##0_);_(* \(#,##0\);_(* &quot;-&quot;_);_(@_)"/>
    <numFmt numFmtId="165" formatCode="_(&quot;$&quot;* #,##0.00_);_(&quot;$&quot;* \(#,##0.00\);_(&quot;$&quot;* &quot;-&quot;??_);_(@_)"/>
    <numFmt numFmtId="166" formatCode="_(* #,##0.00_);_(* \(#,##0.00\);_(* &quot;-&quot;??_);_(@_)"/>
    <numFmt numFmtId="167" formatCode="0.000000"/>
    <numFmt numFmtId="168" formatCode="0.00000"/>
    <numFmt numFmtId="169" formatCode="0.000"/>
    <numFmt numFmtId="170" formatCode="0.0000000"/>
    <numFmt numFmtId="171" formatCode="0.0"/>
    <numFmt numFmtId="172" formatCode="0.0000"/>
    <numFmt numFmtId="173" formatCode="0.00000000"/>
    <numFmt numFmtId="174" formatCode="&quot;$&quot;#,##0\ ;\(&quot;$&quot;#,##0\)"/>
    <numFmt numFmtId="175" formatCode="&quot;$&quot;#,##0.00;[Red]\(&quot;$&quot;#,##0.00\)"/>
    <numFmt numFmtId="176" formatCode="[Blue]#,##0"/>
    <numFmt numFmtId="177" formatCode="[Blue]0.0;\-0.0"/>
    <numFmt numFmtId="178" formatCode="yyyy"/>
    <numFmt numFmtId="179" formatCode="0.0%"/>
    <numFmt numFmtId="180" formatCode="_(* #,##0_);_(* \(#,##0\);_(* &quot;-&quot;??_);_(@_)"/>
    <numFmt numFmtId="181" formatCode="_-* #,##0_-;\-* #,##0_-;_-* &quot;-&quot;??_-;_-@_-"/>
    <numFmt numFmtId="182" formatCode="#,##0.0"/>
    <numFmt numFmtId="183" formatCode="#,##0.000"/>
    <numFmt numFmtId="184" formatCode="0.00000000000%"/>
    <numFmt numFmtId="185" formatCode="_-* #,##0.000000000_-;\-* #,##0.000000000_-;_-* &quot;-&quot;??_-;_-@_-"/>
    <numFmt numFmtId="186" formatCode="0.000000000000000"/>
    <numFmt numFmtId="187" formatCode="_-* #,##0.00000000_-;\-* #,##0.00000000_-;_-* &quot;-&quot;??_-;_-@_-"/>
    <numFmt numFmtId="188" formatCode="_-[$€-2]* #,##0.00_-;\-[$€-2]* #,##0.00_-;_-[$€-2]* &quot;-&quot;??_-"/>
    <numFmt numFmtId="189" formatCode="[&gt;0.5]#,##0;[&lt;-0.5]\-#,##0;\-"/>
    <numFmt numFmtId="190" formatCode="_-* #,##0\ _F_-;\-* #,##0\ _F_-;_-* &quot;-&quot;\ _F_-;_-@_-"/>
    <numFmt numFmtId="191" formatCode="_-* #,##0.00\ _F_-;\-* #,##0.00\ _F_-;_-* &quot;-&quot;??\ _F_-;_-@_-"/>
    <numFmt numFmtId="192" formatCode="_-* #,##0\ &quot;F&quot;_-;\-* #,##0\ &quot;F&quot;_-;_-* &quot;-&quot;\ &quot;F&quot;_-;_-@_-"/>
    <numFmt numFmtId="193" formatCode="_-* #,##0.00\ &quot;F&quot;_-;\-* #,##0.00\ &quot;F&quot;_-;_-* &quot;-&quot;??\ &quot;F&quot;_-;_-@_-"/>
    <numFmt numFmtId="194" formatCode="###.0"/>
    <numFmt numFmtId="195" formatCode="##.0"/>
    <numFmt numFmtId="196" formatCode="#,###,##0"/>
    <numFmt numFmtId="197" formatCode="_-&quot;öS&quot;\ * #,##0_-;\-&quot;öS&quot;\ * #,##0_-;_-&quot;öS&quot;\ * &quot;-&quot;_-;_-@_-"/>
    <numFmt numFmtId="198" formatCode="_-&quot;öS&quot;\ * #,##0.00_-;\-&quot;öS&quot;\ * #,##0.00_-;_-&quot;öS&quot;\ * &quot;-&quot;??_-;_-@_-"/>
    <numFmt numFmtId="199" formatCode="??0.0?????"/>
    <numFmt numFmtId="200" formatCode="_-&quot;£&quot;* #,##0_-;\-&quot;£&quot;* #,##0_-;_-&quot;£&quot;* &quot;-&quot;_-;_-@_-"/>
    <numFmt numFmtId="201" formatCode="_-&quot;£&quot;* #,##0.00_-;\-&quot;£&quot;* #,##0.00_-;_-&quot;£&quot;* &quot;-&quot;??_-;_-@_-"/>
    <numFmt numFmtId="202" formatCode="0.000000000"/>
    <numFmt numFmtId="203" formatCode="_-* #,##0.000000_-;\-* #,##0.000000_-;_-* &quot;-&quot;??_-;_-@_-"/>
    <numFmt numFmtId="204" formatCode="_-* #,##0.00000_-;\-* #,##0.00000_-;_-* &quot;-&quot;??_-;_-@_-"/>
    <numFmt numFmtId="205" formatCode="[$-C09]d\ mmmm\ yyyy;@"/>
    <numFmt numFmtId="206" formatCode="_-* #,##0.000_-;\-* #,##0.000_-;_-* &quot;-&quot;??_-;_-@_-"/>
    <numFmt numFmtId="207" formatCode="_-* #,##0.0000000_-;\-* #,##0.0000000_-;_-* &quot;-&quot;??_-;_-@_-"/>
  </numFmts>
  <fonts count="114">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8"/>
      <name val="Arial"/>
      <family val="2"/>
    </font>
    <font>
      <sz val="10"/>
      <name val="Arial"/>
      <family val="2"/>
    </font>
    <font>
      <sz val="10"/>
      <name val="Arial"/>
      <family val="2"/>
    </font>
    <font>
      <vertAlign val="subscript"/>
      <sz val="10"/>
      <name val="Arial"/>
      <family val="2"/>
    </font>
    <font>
      <b/>
      <sz val="10"/>
      <name val="Arial"/>
      <family val="2"/>
    </font>
    <font>
      <i/>
      <sz val="10"/>
      <name val="Arial"/>
      <family val="2"/>
    </font>
    <font>
      <u/>
      <sz val="10"/>
      <name val="Arial"/>
      <family val="2"/>
    </font>
    <font>
      <b/>
      <sz val="8"/>
      <name val="Helv"/>
    </font>
    <font>
      <sz val="12"/>
      <name val="Courier"/>
      <family val="3"/>
    </font>
    <font>
      <sz val="12"/>
      <color indexed="24"/>
      <name val="Arial"/>
      <family val="2"/>
    </font>
    <font>
      <sz val="10"/>
      <name val="Helv"/>
    </font>
    <font>
      <sz val="8.5"/>
      <name val="LinePrinter"/>
    </font>
    <font>
      <sz val="8"/>
      <name val="Helv"/>
    </font>
    <font>
      <b/>
      <sz val="8.5"/>
      <name val="LinePrinter"/>
    </font>
    <font>
      <sz val="9"/>
      <name val="Times New Roman"/>
      <family val="1"/>
    </font>
    <font>
      <sz val="10"/>
      <color indexed="8"/>
      <name val="Arial"/>
      <family val="2"/>
    </font>
    <font>
      <b/>
      <sz val="10"/>
      <color indexed="8"/>
      <name val="Arial"/>
      <family val="2"/>
    </font>
    <font>
      <b/>
      <sz val="8"/>
      <name val="Arial"/>
      <family val="2"/>
    </font>
    <font>
      <u/>
      <sz val="10"/>
      <color indexed="12"/>
      <name val="Arial"/>
      <family val="2"/>
    </font>
    <font>
      <u/>
      <sz val="10"/>
      <color indexed="12"/>
      <name val="Arial"/>
      <family val="2"/>
    </font>
    <font>
      <sz val="11"/>
      <name val="Calibri"/>
      <family val="2"/>
    </font>
    <font>
      <sz val="11"/>
      <name val="Arial"/>
      <family val="2"/>
    </font>
    <font>
      <b/>
      <vertAlign val="subscript"/>
      <sz val="10"/>
      <name val="Arial"/>
      <family val="2"/>
    </font>
    <font>
      <sz val="8"/>
      <name val="Times New Roman"/>
      <family val="1"/>
    </font>
    <font>
      <b/>
      <u/>
      <sz val="10"/>
      <name val="Arial"/>
      <family val="2"/>
    </font>
    <font>
      <b/>
      <sz val="10"/>
      <color indexed="81"/>
      <name val="Tahoma"/>
      <family val="2"/>
    </font>
    <font>
      <b/>
      <i/>
      <sz val="10"/>
      <name val="Arial"/>
      <family val="2"/>
    </font>
    <font>
      <vertAlign val="superscript"/>
      <sz val="10"/>
      <name val="Arial"/>
      <family val="2"/>
    </font>
    <font>
      <b/>
      <vertAlign val="superscript"/>
      <sz val="10"/>
      <name val="Arial"/>
      <family val="2"/>
    </font>
    <font>
      <b/>
      <i/>
      <sz val="14"/>
      <name val="Arial"/>
      <family val="2"/>
    </font>
    <font>
      <sz val="6"/>
      <name val="Arial"/>
      <family val="2"/>
    </font>
    <font>
      <sz val="8"/>
      <color indexed="81"/>
      <name val="Tahoma"/>
      <family val="2"/>
    </font>
    <font>
      <b/>
      <i/>
      <sz val="8"/>
      <name val="Arial"/>
      <family val="2"/>
    </font>
    <font>
      <b/>
      <sz val="12"/>
      <color indexed="9"/>
      <name val="Arial"/>
      <family val="2"/>
    </font>
    <font>
      <sz val="10"/>
      <color indexed="9"/>
      <name val="Arial"/>
      <family val="2"/>
    </font>
    <font>
      <b/>
      <sz val="8"/>
      <color indexed="8"/>
      <name val="MS Sans Serif"/>
      <family val="2"/>
    </font>
    <font>
      <sz val="8"/>
      <color indexed="8"/>
      <name val="MS Sans Serif"/>
      <family val="2"/>
    </font>
    <font>
      <sz val="9"/>
      <color indexed="8"/>
      <name val="MS Sans Serif"/>
      <family val="2"/>
    </font>
    <font>
      <b/>
      <sz val="9"/>
      <color indexed="8"/>
      <name val="MS Sans Serif"/>
      <family val="2"/>
    </font>
    <font>
      <sz val="9"/>
      <name val="Arial"/>
      <family val="2"/>
    </font>
    <font>
      <b/>
      <sz val="9"/>
      <name val="Arial"/>
      <family val="2"/>
    </font>
    <font>
      <sz val="10"/>
      <color indexed="8"/>
      <name val="MS Sans Serif"/>
      <family val="2"/>
    </font>
    <font>
      <u/>
      <sz val="10"/>
      <color indexed="9"/>
      <name val="Arial"/>
      <family val="2"/>
    </font>
    <font>
      <b/>
      <sz val="8"/>
      <name val="Tahoma"/>
      <family val="2"/>
    </font>
    <font>
      <sz val="11"/>
      <color indexed="8"/>
      <name val="Calibri"/>
      <family val="2"/>
    </font>
    <font>
      <sz val="10"/>
      <name val="Arial"/>
      <family val="2"/>
    </font>
    <font>
      <sz val="11"/>
      <color theme="1"/>
      <name val="Calibri"/>
      <family val="2"/>
      <scheme val="minor"/>
    </font>
    <font>
      <sz val="9"/>
      <color rgb="FF000000"/>
      <name val="Arial"/>
      <family val="2"/>
    </font>
    <font>
      <u/>
      <sz val="11"/>
      <color theme="1"/>
      <name val="Calibri"/>
      <family val="2"/>
      <scheme val="minor"/>
    </font>
    <font>
      <b/>
      <sz val="8"/>
      <color rgb="FF000000"/>
      <name val="Tahoma"/>
      <family val="2"/>
    </font>
    <font>
      <sz val="8"/>
      <color rgb="FF000000"/>
      <name val="Tahoma"/>
      <family val="2"/>
    </font>
    <font>
      <b/>
      <i/>
      <sz val="8"/>
      <color rgb="FF000000"/>
      <name val="Tahoma"/>
      <family val="2"/>
    </font>
    <font>
      <b/>
      <sz val="8"/>
      <color rgb="FFFF0000"/>
      <name val="Tahoma"/>
      <family val="2"/>
    </font>
    <font>
      <u/>
      <sz val="11"/>
      <color rgb="FF000000"/>
      <name val="Calibri"/>
      <family val="2"/>
    </font>
    <font>
      <sz val="11"/>
      <color rgb="FF000000"/>
      <name val="Calibri"/>
      <family val="2"/>
    </font>
    <font>
      <b/>
      <sz val="11"/>
      <name val="Arial"/>
      <family val="2"/>
    </font>
    <font>
      <sz val="11"/>
      <name val="Calibri"/>
      <family val="2"/>
      <scheme val="minor"/>
    </font>
    <font>
      <sz val="10"/>
      <color indexed="81"/>
      <name val="Tahoma"/>
      <family val="2"/>
    </font>
    <font>
      <sz val="10"/>
      <color theme="1"/>
      <name val="Arial"/>
      <family val="2"/>
    </font>
    <font>
      <sz val="10"/>
      <color theme="7"/>
      <name val="Arial"/>
      <family val="2"/>
    </font>
    <font>
      <sz val="11"/>
      <color theme="7"/>
      <name val="Calibri"/>
      <family val="2"/>
      <scheme val="minor"/>
    </font>
    <font>
      <sz val="10"/>
      <color rgb="FFC00000"/>
      <name val="Arial"/>
      <family val="2"/>
    </font>
    <font>
      <sz val="11"/>
      <color theme="1"/>
      <name val="Arial"/>
      <family val="2"/>
    </font>
    <font>
      <u/>
      <sz val="11"/>
      <color theme="10"/>
      <name val="Arial"/>
      <family val="2"/>
    </font>
    <font>
      <i/>
      <sz val="11"/>
      <color rgb="FF7F7F7F"/>
      <name val="Arial"/>
      <family val="2"/>
    </font>
    <font>
      <sz val="10"/>
      <name val="Arial"/>
    </font>
    <font>
      <sz val="12"/>
      <color indexed="52"/>
      <name val="Arial"/>
      <family val="2"/>
    </font>
    <font>
      <sz val="10"/>
      <name val="Arial Cyr"/>
      <charset val="204"/>
    </font>
    <font>
      <b/>
      <sz val="9"/>
      <name val="Times New Roman"/>
      <family val="1"/>
    </font>
    <font>
      <b/>
      <sz val="12"/>
      <name val="Helv"/>
    </font>
    <font>
      <b/>
      <sz val="15"/>
      <color indexed="56"/>
      <name val="Arial"/>
      <family val="2"/>
    </font>
    <font>
      <i/>
      <sz val="12"/>
      <name val="Times New Roman"/>
      <family val="1"/>
    </font>
    <font>
      <b/>
      <sz val="13"/>
      <color indexed="56"/>
      <name val="Arial"/>
      <family val="2"/>
    </font>
    <font>
      <b/>
      <sz val="11"/>
      <color indexed="56"/>
      <name val="Arial"/>
      <family val="2"/>
    </font>
    <font>
      <sz val="12"/>
      <color indexed="20"/>
      <name val="Arial"/>
      <family val="2"/>
    </font>
    <font>
      <b/>
      <sz val="12"/>
      <color indexed="52"/>
      <name val="Arial"/>
      <family val="2"/>
    </font>
    <font>
      <sz val="12"/>
      <color indexed="10"/>
      <name val="Arial"/>
      <family val="2"/>
    </font>
    <font>
      <sz val="14"/>
      <name val="Arial"/>
      <family val="2"/>
    </font>
    <font>
      <b/>
      <sz val="10"/>
      <color indexed="18"/>
      <name val="Arial"/>
      <family val="2"/>
    </font>
    <font>
      <sz val="11"/>
      <color indexed="8"/>
      <name val="Arial"/>
      <family val="2"/>
    </font>
    <font>
      <sz val="10"/>
      <name val="Times New Roman"/>
      <family val="1"/>
    </font>
    <font>
      <b/>
      <sz val="12"/>
      <color indexed="8"/>
      <name val="Arial"/>
      <family val="2"/>
    </font>
    <font>
      <sz val="12"/>
      <color indexed="17"/>
      <name val="Arial"/>
      <family val="2"/>
    </font>
    <font>
      <b/>
      <sz val="18"/>
      <color indexed="56"/>
      <name val="Cambria"/>
      <family val="2"/>
    </font>
    <font>
      <b/>
      <sz val="14"/>
      <name val="Helv"/>
    </font>
    <font>
      <sz val="12"/>
      <color indexed="9"/>
      <name val="Arial"/>
      <family val="2"/>
    </font>
    <font>
      <i/>
      <sz val="12"/>
      <color indexed="23"/>
      <name val="Arial"/>
      <family val="2"/>
    </font>
    <font>
      <b/>
      <sz val="12"/>
      <color indexed="63"/>
      <name val="Arial"/>
      <family val="2"/>
    </font>
    <font>
      <b/>
      <sz val="12"/>
      <color indexed="12"/>
      <name val="Arial"/>
      <family val="2"/>
    </font>
    <font>
      <sz val="12"/>
      <color indexed="8"/>
      <name val="Arial"/>
      <family val="2"/>
    </font>
    <font>
      <sz val="12"/>
      <color indexed="60"/>
      <name val="Arial"/>
      <family val="2"/>
    </font>
    <font>
      <sz val="12"/>
      <color indexed="62"/>
      <name val="Arial"/>
      <family val="2"/>
    </font>
    <font>
      <u/>
      <sz val="10"/>
      <color theme="10"/>
      <name val="Arial"/>
      <family val="2"/>
    </font>
    <font>
      <u/>
      <sz val="11"/>
      <color theme="10"/>
      <name val="Calibri"/>
      <family val="2"/>
    </font>
    <font>
      <b/>
      <sz val="10"/>
      <color rgb="FFFF0000"/>
      <name val="Arial"/>
      <family val="2"/>
    </font>
    <font>
      <u/>
      <sz val="10"/>
      <color indexed="24"/>
      <name val="Arial"/>
      <family val="2"/>
    </font>
    <font>
      <sz val="11"/>
      <color indexed="8"/>
      <name val="Arial Mäori"/>
      <family val="2"/>
    </font>
    <font>
      <sz val="10"/>
      <name val="MS Sans Serif"/>
      <family val="2"/>
    </font>
    <font>
      <b/>
      <sz val="11"/>
      <color rgb="FFFF0000"/>
      <name val="Calibri"/>
      <family val="2"/>
      <scheme val="minor"/>
    </font>
    <font>
      <b/>
      <sz val="12"/>
      <name val="Arial"/>
      <family val="2"/>
    </font>
  </fonts>
  <fills count="56">
    <fill>
      <patternFill patternType="none"/>
    </fill>
    <fill>
      <patternFill patternType="gray125"/>
    </fill>
    <fill>
      <patternFill patternType="solid">
        <fgColor indexed="22"/>
        <bgColor indexed="64"/>
      </patternFill>
    </fill>
    <fill>
      <patternFill patternType="solid">
        <fgColor indexed="42"/>
        <bgColor indexed="64"/>
      </patternFill>
    </fill>
    <fill>
      <patternFill patternType="solid">
        <fgColor indexed="9"/>
        <bgColor indexed="64"/>
      </patternFill>
    </fill>
    <fill>
      <patternFill patternType="solid">
        <fgColor rgb="FFD9D9D9"/>
        <bgColor indexed="64"/>
      </patternFill>
    </fill>
    <fill>
      <patternFill patternType="solid">
        <fgColor theme="0" tint="-0.14996795556505021"/>
        <bgColor indexed="64"/>
      </patternFill>
    </fill>
    <fill>
      <patternFill patternType="solid">
        <fgColor rgb="FFFFFF00"/>
        <bgColor indexed="64"/>
      </patternFill>
    </fill>
    <fill>
      <patternFill patternType="solid">
        <fgColor rgb="FF000000"/>
        <bgColor indexed="64"/>
      </patternFill>
    </fill>
    <fill>
      <patternFill patternType="solid">
        <fgColor theme="0"/>
        <bgColor indexed="64"/>
      </patternFill>
    </fill>
    <fill>
      <patternFill patternType="solid">
        <fgColor theme="2" tint="-0.249977111117893"/>
        <bgColor indexed="64"/>
      </patternFill>
    </fill>
    <fill>
      <patternFill patternType="solid">
        <fgColor theme="1"/>
        <bgColor indexed="64"/>
      </patternFill>
    </fill>
    <fill>
      <patternFill patternType="solid">
        <fgColor indexed="45"/>
        <bgColor indexed="64"/>
      </patternFill>
    </fill>
    <fill>
      <patternFill patternType="solid">
        <fgColor indexed="49"/>
        <bgColor indexed="64"/>
      </patternFill>
    </fill>
    <fill>
      <patternFill patternType="solid">
        <fgColor indexed="47"/>
        <bgColor indexed="64"/>
      </patternFill>
    </fill>
    <fill>
      <patternFill patternType="solid">
        <fgColor indexed="52"/>
        <bgColor indexed="64"/>
      </patternFill>
    </fill>
    <fill>
      <patternFill patternType="solid">
        <fgColor indexed="53"/>
        <bgColor indexed="64"/>
      </patternFill>
    </fill>
    <fill>
      <patternFill patternType="solid">
        <fgColor indexed="11"/>
        <bgColor indexed="64"/>
      </patternFill>
    </fill>
    <fill>
      <patternFill patternType="solid">
        <fgColor indexed="10"/>
        <bgColor indexed="64"/>
      </patternFill>
    </fill>
    <fill>
      <patternFill patternType="solid">
        <fgColor indexed="55"/>
        <bgColor indexed="64"/>
      </patternFill>
    </fill>
    <fill>
      <patternFill patternType="solid">
        <fgColor indexed="44"/>
        <bgColor indexed="64"/>
      </patternFill>
    </fill>
    <fill>
      <patternFill patternType="solid">
        <fgColor indexed="26"/>
        <bgColor indexed="64"/>
      </patternFill>
    </fill>
    <fill>
      <patternFill patternType="solid">
        <fgColor indexed="29"/>
        <bgColor indexed="64"/>
      </patternFill>
    </fill>
    <fill>
      <patternFill patternType="solid">
        <fgColor indexed="51"/>
        <bgColor indexed="64"/>
      </patternFill>
    </fill>
    <fill>
      <patternFill patternType="solid">
        <fgColor indexed="31"/>
        <bgColor indexed="64"/>
      </patternFill>
    </fill>
    <fill>
      <patternFill patternType="solid">
        <fgColor indexed="27"/>
        <bgColor indexed="64"/>
      </patternFill>
    </fill>
    <fill>
      <patternFill patternType="solid">
        <fgColor indexed="43"/>
        <bgColor indexed="64"/>
      </patternFill>
    </fill>
    <fill>
      <patternFill patternType="solid">
        <fgColor indexed="36"/>
        <bgColor indexed="64"/>
      </patternFill>
    </fill>
    <fill>
      <patternFill patternType="solid">
        <fgColor indexed="57"/>
        <bgColor indexed="64"/>
      </patternFill>
    </fill>
    <fill>
      <patternFill patternType="solid">
        <fgColor indexed="46"/>
        <bgColor indexed="64"/>
      </patternFill>
    </fill>
    <fill>
      <patternFill patternType="lightGray">
        <fgColor indexed="9"/>
      </patternFill>
    </fill>
    <fill>
      <patternFill patternType="gray0625">
        <fgColor indexed="9"/>
      </patternFill>
    </fill>
    <fill>
      <patternFill patternType="solid">
        <fgColor indexed="62"/>
        <bgColor indexed="64"/>
      </patternFill>
    </fill>
    <fill>
      <patternFill patternType="solid">
        <fgColor indexed="3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s>
  <borders count="74">
    <border>
      <left/>
      <right/>
      <top/>
      <bottom/>
      <diagonal/>
    </border>
    <border>
      <left style="thin">
        <color indexed="64"/>
      </left>
      <right style="thin">
        <color indexed="64"/>
      </right>
      <top style="thin">
        <color indexed="64"/>
      </top>
      <bottom style="medium">
        <color indexed="64"/>
      </bottom>
      <diagonal/>
    </border>
    <border>
      <left/>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style="thin">
        <color indexed="64"/>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style="medium">
        <color indexed="64"/>
      </right>
      <top/>
      <bottom/>
      <diagonal/>
    </border>
    <border>
      <left style="thin">
        <color indexed="64"/>
      </left>
      <right style="thin">
        <color indexed="64"/>
      </right>
      <top/>
      <bottom/>
      <diagonal/>
    </border>
    <border>
      <left style="medium">
        <color indexed="64"/>
      </left>
      <right style="medium">
        <color indexed="64"/>
      </right>
      <top style="medium">
        <color indexed="64"/>
      </top>
      <bottom style="thin">
        <color indexed="64"/>
      </bottom>
      <diagonal/>
    </border>
    <border>
      <left/>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bottom style="medium">
        <color indexed="64"/>
      </bottom>
      <diagonal/>
    </border>
    <border>
      <left style="thin">
        <color rgb="FF000000"/>
      </left>
      <right style="thin">
        <color rgb="FF000000"/>
      </right>
      <top style="thin">
        <color rgb="FF000000"/>
      </top>
      <bottom style="thin">
        <color rgb="FF000000"/>
      </bottom>
      <diagonal/>
    </border>
    <border>
      <left/>
      <right/>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right/>
      <top/>
      <bottom style="medium">
        <color indexed="30"/>
      </bottom>
      <diagonal/>
    </border>
    <border>
      <left style="thin">
        <color indexed="63"/>
      </left>
      <right style="thin">
        <color indexed="63"/>
      </right>
      <top style="thin">
        <color indexed="63"/>
      </top>
      <bottom style="thin">
        <color indexed="63"/>
      </bottom>
      <diagonal/>
    </border>
    <border>
      <left style="double">
        <color indexed="63"/>
      </left>
      <right style="double">
        <color indexed="63"/>
      </right>
      <top style="double">
        <color indexed="63"/>
      </top>
      <bottom style="double">
        <color indexed="63"/>
      </bottom>
      <diagonal/>
    </border>
    <border>
      <left/>
      <right/>
      <top/>
      <bottom style="thick">
        <color indexed="22"/>
      </bottom>
      <diagonal/>
    </border>
    <border>
      <left/>
      <right/>
      <top style="thin">
        <color indexed="62"/>
      </top>
      <bottom style="double">
        <color indexed="62"/>
      </bottom>
      <diagonal/>
    </border>
    <border>
      <left/>
      <right/>
      <top/>
      <bottom style="double">
        <color indexed="52"/>
      </bottom>
      <diagonal/>
    </border>
    <border>
      <left/>
      <right/>
      <top/>
      <bottom style="thick">
        <color indexed="62"/>
      </bottom>
      <diagonal/>
    </border>
    <border>
      <left style="thick">
        <color rgb="FF053D5F"/>
      </left>
      <right style="thin">
        <color rgb="FF053D5F"/>
      </right>
      <top style="thick">
        <color rgb="FF053D5F"/>
      </top>
      <bottom style="medium">
        <color indexed="64"/>
      </bottom>
      <diagonal/>
    </border>
    <border>
      <left style="thin">
        <color rgb="FF053D5F"/>
      </left>
      <right style="thin">
        <color rgb="FF053D5F"/>
      </right>
      <top style="thick">
        <color rgb="FF053D5F"/>
      </top>
      <bottom style="medium">
        <color indexed="64"/>
      </bottom>
      <diagonal/>
    </border>
    <border>
      <left style="thin">
        <color rgb="FF053D5F"/>
      </left>
      <right style="thick">
        <color rgb="FF053D5F"/>
      </right>
      <top style="thick">
        <color rgb="FF053D5F"/>
      </top>
      <bottom style="medium">
        <color indexed="64"/>
      </bottom>
      <diagonal/>
    </border>
    <border>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bottom style="medium">
        <color indexed="64"/>
      </bottom>
      <diagonal/>
    </border>
  </borders>
  <cellStyleXfs count="514">
    <xf numFmtId="0" fontId="0" fillId="0" borderId="0"/>
    <xf numFmtId="0" fontId="21" fillId="0" borderId="0">
      <protection locked="0"/>
    </xf>
    <xf numFmtId="0" fontId="22" fillId="0" borderId="0" applyNumberFormat="0" applyFont="0" applyFill="0" applyBorder="0" applyProtection="0">
      <alignment horizontal="right"/>
    </xf>
    <xf numFmtId="166" fontId="15"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3" fontId="23" fillId="0" borderId="0" applyFont="0" applyFill="0" applyBorder="0" applyAlignment="0" applyProtection="0"/>
    <xf numFmtId="4" fontId="24" fillId="0" borderId="0" applyFont="0" applyFill="0" applyBorder="0" applyAlignment="0" applyProtection="0"/>
    <xf numFmtId="174" fontId="23" fillId="0" borderId="0" applyFont="0" applyFill="0" applyBorder="0" applyAlignment="0" applyProtection="0"/>
    <xf numFmtId="175" fontId="25" fillId="0" borderId="0" applyFont="0" applyFill="0" applyBorder="0" applyAlignment="0" applyProtection="0"/>
    <xf numFmtId="15" fontId="25" fillId="0" borderId="0" applyFont="0" applyFill="0" applyBorder="0" applyProtection="0">
      <alignment horizontal="right"/>
    </xf>
    <xf numFmtId="2" fontId="23" fillId="0" borderId="0" applyFont="0" applyFill="0" applyBorder="0" applyAlignment="0" applyProtection="0"/>
    <xf numFmtId="176" fontId="26" fillId="0" borderId="0">
      <protection locked="0"/>
    </xf>
    <xf numFmtId="0" fontId="27" fillId="0" borderId="0" applyNumberFormat="0" applyFill="0" applyBorder="0" applyAlignment="0" applyProtection="0"/>
    <xf numFmtId="0" fontId="32"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4" fontId="28" fillId="0" borderId="1">
      <alignment horizontal="right" vertical="center"/>
    </xf>
    <xf numFmtId="177" fontId="26" fillId="0" borderId="0">
      <protection locked="0"/>
    </xf>
    <xf numFmtId="0" fontId="15" fillId="0" borderId="0"/>
    <xf numFmtId="0" fontId="16" fillId="0" borderId="0"/>
    <xf numFmtId="0" fontId="15" fillId="0" borderId="0"/>
    <xf numFmtId="0" fontId="16" fillId="0" borderId="0">
      <alignment vertical="top"/>
    </xf>
    <xf numFmtId="0" fontId="60" fillId="0" borderId="0"/>
    <xf numFmtId="0" fontId="60" fillId="0" borderId="0"/>
    <xf numFmtId="0" fontId="60" fillId="0" borderId="0"/>
    <xf numFmtId="9" fontId="15" fillId="0" borderId="0" applyFont="0" applyFill="0" applyBorder="0" applyAlignment="0" applyProtection="0"/>
    <xf numFmtId="9" fontId="60" fillId="0" borderId="0" applyFont="0" applyFill="0" applyBorder="0" applyAlignment="0" applyProtection="0"/>
    <xf numFmtId="10" fontId="25" fillId="0" borderId="0" applyFont="0" applyFill="0" applyBorder="0" applyAlignment="0" applyProtection="0"/>
    <xf numFmtId="0" fontId="29" fillId="0" borderId="0">
      <alignment vertical="top"/>
    </xf>
    <xf numFmtId="4" fontId="22" fillId="0" borderId="2" applyNumberFormat="0" applyFont="0" applyFill="0" applyAlignment="0" applyProtection="0"/>
    <xf numFmtId="2" fontId="21" fillId="1" borderId="3" applyNumberFormat="0" applyBorder="0" applyProtection="0">
      <alignment horizontal="left"/>
    </xf>
    <xf numFmtId="178" fontId="25" fillId="0" borderId="0" applyFont="0" applyFill="0" applyBorder="0" applyAlignment="0" applyProtection="0"/>
    <xf numFmtId="166" fontId="59" fillId="0" borderId="0" applyFont="0" applyFill="0" applyBorder="0" applyAlignment="0" applyProtection="0"/>
    <xf numFmtId="0" fontId="76" fillId="0" borderId="0"/>
    <xf numFmtId="166" fontId="76" fillId="0" borderId="0" applyFont="0" applyFill="0" applyBorder="0" applyAlignment="0" applyProtection="0"/>
    <xf numFmtId="0" fontId="76" fillId="0" borderId="0"/>
    <xf numFmtId="0" fontId="77" fillId="0" borderId="0" applyNumberFormat="0" applyFill="0" applyBorder="0" applyAlignment="0" applyProtection="0"/>
    <xf numFmtId="0" fontId="76" fillId="0" borderId="0"/>
    <xf numFmtId="0" fontId="15" fillId="0" borderId="0"/>
    <xf numFmtId="9" fontId="76" fillId="0" borderId="0" applyFont="0" applyFill="0" applyBorder="0" applyAlignment="0" applyProtection="0"/>
    <xf numFmtId="0" fontId="12" fillId="0" borderId="0"/>
    <xf numFmtId="0" fontId="32" fillId="0" borderId="0" applyNumberFormat="0" applyFill="0" applyBorder="0" applyAlignment="0" applyProtection="0">
      <alignment vertical="top"/>
      <protection locked="0"/>
    </xf>
    <xf numFmtId="0" fontId="15" fillId="0" borderId="0">
      <alignment vertical="top"/>
    </xf>
    <xf numFmtId="166" fontId="12" fillId="0" borderId="0" applyFont="0" applyFill="0" applyBorder="0" applyAlignment="0" applyProtection="0"/>
    <xf numFmtId="9" fontId="12" fillId="0" borderId="0" applyFont="0" applyFill="0" applyBorder="0" applyAlignment="0" applyProtection="0"/>
    <xf numFmtId="0" fontId="78" fillId="0" borderId="0" applyNumberFormat="0" applyFill="0" applyBorder="0" applyAlignment="0" applyProtection="0"/>
    <xf numFmtId="0" fontId="11" fillId="0" borderId="0"/>
    <xf numFmtId="166" fontId="11" fillId="0" borderId="0" applyFont="0" applyFill="0" applyBorder="0" applyAlignment="0" applyProtection="0"/>
    <xf numFmtId="9" fontId="11" fillId="0" borderId="0" applyFont="0" applyFill="0" applyBorder="0" applyAlignment="0" applyProtection="0"/>
    <xf numFmtId="166" fontId="79" fillId="0" borderId="0" applyFont="0" applyFill="0" applyBorder="0" applyAlignment="0" applyProtection="0"/>
    <xf numFmtId="166" fontId="15" fillId="0" borderId="0" applyFont="0" applyFill="0" applyBorder="0" applyAlignment="0" applyProtection="0"/>
    <xf numFmtId="9" fontId="79" fillId="0" borderId="0" applyFont="0" applyFill="0" applyBorder="0" applyAlignment="0" applyProtection="0"/>
    <xf numFmtId="0" fontId="79" fillId="0" borderId="0"/>
    <xf numFmtId="0" fontId="9" fillId="0" borderId="0"/>
    <xf numFmtId="0" fontId="8" fillId="0" borderId="0"/>
    <xf numFmtId="0" fontId="7" fillId="0" borderId="0"/>
    <xf numFmtId="169" fontId="15" fillId="0" borderId="0" applyFont="0" applyFill="0" applyBorder="0" applyAlignment="0" applyProtection="0">
      <alignment horizontal="left"/>
    </xf>
    <xf numFmtId="0" fontId="103" fillId="12" borderId="0" applyNumberFormat="0" applyBorder="0" applyAlignment="0" applyProtection="0"/>
    <xf numFmtId="0" fontId="7" fillId="0" borderId="0"/>
    <xf numFmtId="0" fontId="96" fillId="3" borderId="0" applyNumberFormat="0" applyBorder="0" applyAlignment="0" applyProtection="0"/>
    <xf numFmtId="0" fontId="76" fillId="0" borderId="0"/>
    <xf numFmtId="0" fontId="99" fillId="13" borderId="0" applyNumberFormat="0" applyBorder="0" applyAlignment="0" applyProtection="0"/>
    <xf numFmtId="0" fontId="105" fillId="14" borderId="59" applyNumberFormat="0" applyAlignment="0" applyProtection="0"/>
    <xf numFmtId="9" fontId="7" fillId="0" borderId="0" applyFont="0" applyFill="0" applyBorder="0" applyAlignment="0" applyProtection="0"/>
    <xf numFmtId="0" fontId="99" fillId="15" borderId="0" applyNumberFormat="0" applyBorder="0" applyAlignment="0" applyProtection="0"/>
    <xf numFmtId="0" fontId="99" fillId="16" borderId="0" applyNumberFormat="0" applyBorder="0" applyAlignment="0" applyProtection="0"/>
    <xf numFmtId="0" fontId="103" fillId="17" borderId="0" applyNumberFormat="0" applyBorder="0" applyAlignment="0" applyProtection="0"/>
    <xf numFmtId="0" fontId="99" fillId="18" borderId="0" applyNumberFormat="0" applyBorder="0" applyAlignment="0" applyProtection="0"/>
    <xf numFmtId="192" fontId="15" fillId="0" borderId="0" applyFont="0" applyFill="0" applyBorder="0" applyAlignment="0" applyProtection="0"/>
    <xf numFmtId="0" fontId="7" fillId="0" borderId="0"/>
    <xf numFmtId="0" fontId="105" fillId="14" borderId="59" applyNumberFormat="0" applyAlignment="0" applyProtection="0"/>
    <xf numFmtId="0" fontId="89" fillId="2" borderId="59" applyNumberFormat="0" applyAlignment="0" applyProtection="0"/>
    <xf numFmtId="166" fontId="15" fillId="0" borderId="0" applyFont="0" applyFill="0" applyBorder="0" applyAlignment="0" applyProtection="0">
      <alignment wrapText="1"/>
    </xf>
    <xf numFmtId="0" fontId="103" fillId="17" borderId="0" applyNumberFormat="0" applyBorder="0" applyAlignment="0" applyProtection="0"/>
    <xf numFmtId="0" fontId="103" fillId="20" borderId="0" applyNumberFormat="0" applyBorder="0" applyAlignment="0" applyProtection="0"/>
    <xf numFmtId="0" fontId="105" fillId="14" borderId="59" applyNumberFormat="0" applyAlignment="0" applyProtection="0"/>
    <xf numFmtId="0" fontId="15" fillId="0" borderId="0"/>
    <xf numFmtId="0" fontId="103" fillId="21" borderId="60" applyNumberFormat="0" applyFont="0" applyAlignment="0" applyProtection="0"/>
    <xf numFmtId="0" fontId="76" fillId="0" borderId="0"/>
    <xf numFmtId="0" fontId="105" fillId="14" borderId="59" applyNumberFormat="0" applyAlignment="0" applyProtection="0"/>
    <xf numFmtId="189" fontId="91" fillId="0" borderId="0">
      <alignment horizontal="left" vertical="center"/>
    </xf>
    <xf numFmtId="0" fontId="87" fillId="0" borderId="61" applyNumberFormat="0" applyFill="0" applyAlignment="0" applyProtection="0"/>
    <xf numFmtId="0" fontId="87" fillId="0" borderId="0" applyNumberFormat="0" applyFill="0" applyBorder="0" applyAlignment="0" applyProtection="0"/>
    <xf numFmtId="195" fontId="15" fillId="0" borderId="0" applyFont="0" applyFill="0" applyBorder="0" applyAlignment="0" applyProtection="0">
      <alignment horizontal="left"/>
    </xf>
    <xf numFmtId="166" fontId="15" fillId="0" borderId="0" applyFont="0" applyFill="0" applyBorder="0" applyAlignment="0" applyProtection="0"/>
    <xf numFmtId="193" fontId="15" fillId="0" borderId="0" applyFont="0" applyFill="0" applyBorder="0" applyAlignment="0" applyProtection="0"/>
    <xf numFmtId="0" fontId="103" fillId="20" borderId="0" applyNumberFormat="0" applyBorder="0" applyAlignment="0" applyProtection="0"/>
    <xf numFmtId="0" fontId="99" fillId="15" borderId="0" applyNumberFormat="0" applyBorder="0" applyAlignment="0" applyProtection="0"/>
    <xf numFmtId="0" fontId="101" fillId="2" borderId="62" applyNumberFormat="0" applyAlignment="0" applyProtection="0"/>
    <xf numFmtId="194" fontId="15" fillId="0" borderId="0" applyFont="0" applyFill="0" applyBorder="0" applyAlignment="0" applyProtection="0">
      <alignment horizontal="left"/>
    </xf>
    <xf numFmtId="0" fontId="103" fillId="23" borderId="0" applyNumberFormat="0" applyBorder="0" applyAlignment="0" applyProtection="0"/>
    <xf numFmtId="0" fontId="47" fillId="19" borderId="63" applyNumberFormat="0" applyAlignment="0" applyProtection="0"/>
    <xf numFmtId="0" fontId="103" fillId="24" borderId="0" applyNumberFormat="0" applyBorder="0" applyAlignment="0" applyProtection="0"/>
    <xf numFmtId="0" fontId="15" fillId="0" borderId="0"/>
    <xf numFmtId="4" fontId="28" fillId="25" borderId="4">
      <alignment horizontal="right" vertical="center"/>
    </xf>
    <xf numFmtId="0" fontId="99" fillId="18" borderId="0" applyNumberFormat="0" applyBorder="0" applyAlignment="0" applyProtection="0"/>
    <xf numFmtId="0" fontId="105" fillId="14" borderId="59" applyNumberFormat="0" applyAlignment="0" applyProtection="0"/>
    <xf numFmtId="0" fontId="7" fillId="0" borderId="0"/>
    <xf numFmtId="0" fontId="103" fillId="21" borderId="60" applyNumberFormat="0" applyFont="0" applyAlignment="0" applyProtection="0"/>
    <xf numFmtId="0" fontId="103" fillId="20" borderId="0" applyNumberFormat="0" applyBorder="0" applyAlignment="0" applyProtection="0"/>
    <xf numFmtId="0" fontId="14" fillId="0" borderId="0"/>
    <xf numFmtId="0" fontId="99" fillId="13" borderId="0" applyNumberFormat="0" applyBorder="0" applyAlignment="0" applyProtection="0"/>
    <xf numFmtId="49" fontId="15" fillId="0" borderId="0" applyFill="0" applyBorder="0" applyProtection="0">
      <alignment horizontal="left"/>
    </xf>
    <xf numFmtId="9" fontId="93" fillId="0" borderId="0" applyFont="0" applyFill="0" applyBorder="0" applyAlignment="0" applyProtection="0"/>
    <xf numFmtId="0" fontId="99" fillId="15" borderId="0" applyNumberFormat="0" applyBorder="0" applyAlignment="0" applyProtection="0"/>
    <xf numFmtId="0" fontId="100" fillId="0" borderId="0" applyNumberFormat="0" applyFill="0" applyBorder="0" applyAlignment="0" applyProtection="0"/>
    <xf numFmtId="0" fontId="106" fillId="0" borderId="0" applyNumberFormat="0" applyFill="0" applyBorder="0" applyAlignment="0" applyProtection="0">
      <alignment vertical="top"/>
      <protection locked="0"/>
    </xf>
    <xf numFmtId="0" fontId="104" fillId="26" borderId="0" applyNumberFormat="0" applyBorder="0" applyAlignment="0" applyProtection="0"/>
    <xf numFmtId="169" fontId="15" fillId="0" borderId="0" applyFont="0" applyFill="0" applyBorder="0" applyAlignment="0" applyProtection="0">
      <alignment horizontal="left"/>
    </xf>
    <xf numFmtId="0" fontId="47" fillId="19" borderId="63" applyNumberFormat="0" applyAlignment="0" applyProtection="0"/>
    <xf numFmtId="0" fontId="99" fillId="27" borderId="0" applyNumberFormat="0" applyBorder="0" applyAlignment="0" applyProtection="0"/>
    <xf numFmtId="0" fontId="7" fillId="0" borderId="0"/>
    <xf numFmtId="0" fontId="102" fillId="26" borderId="0">
      <alignment horizontal="left" vertical="center" indent="1"/>
    </xf>
    <xf numFmtId="0" fontId="99" fillId="27" borderId="0" applyNumberFormat="0" applyBorder="0" applyAlignment="0" applyProtection="0"/>
    <xf numFmtId="0" fontId="99" fillId="15" borderId="0" applyNumberFormat="0" applyBorder="0" applyAlignment="0" applyProtection="0"/>
    <xf numFmtId="0" fontId="103" fillId="25" borderId="0" applyNumberFormat="0" applyBorder="0" applyAlignment="0" applyProtection="0"/>
    <xf numFmtId="0" fontId="99" fillId="27" borderId="0" applyNumberFormat="0" applyBorder="0" applyAlignment="0" applyProtection="0"/>
    <xf numFmtId="0" fontId="99" fillId="28" borderId="0" applyNumberFormat="0" applyBorder="0" applyAlignment="0" applyProtection="0"/>
    <xf numFmtId="9" fontId="93" fillId="0" borderId="0" applyFont="0" applyFill="0" applyBorder="0" applyAlignment="0" applyProtection="0"/>
    <xf numFmtId="0" fontId="101" fillId="2" borderId="62" applyNumberFormat="0" applyAlignment="0" applyProtection="0"/>
    <xf numFmtId="0" fontId="86" fillId="0" borderId="64" applyNumberFormat="0" applyFill="0" applyAlignment="0" applyProtection="0"/>
    <xf numFmtId="0" fontId="7" fillId="0" borderId="0"/>
    <xf numFmtId="0" fontId="99" fillId="27" borderId="0" applyNumberFormat="0" applyBorder="0" applyAlignment="0" applyProtection="0"/>
    <xf numFmtId="0" fontId="99" fillId="17" borderId="0" applyNumberFormat="0" applyBorder="0" applyAlignment="0" applyProtection="0"/>
    <xf numFmtId="0" fontId="15" fillId="0" borderId="0"/>
    <xf numFmtId="9" fontId="15" fillId="0" borderId="0" applyFont="0" applyFill="0" applyBorder="0" applyAlignment="0" applyProtection="0"/>
    <xf numFmtId="0" fontId="99" fillId="27" borderId="0" applyNumberFormat="0" applyBorder="0" applyAlignment="0" applyProtection="0"/>
    <xf numFmtId="0" fontId="90" fillId="0" borderId="0" applyNumberFormat="0" applyFill="0" applyBorder="0" applyAlignment="0" applyProtection="0"/>
    <xf numFmtId="0" fontId="99" fillId="17" borderId="0" applyNumberFormat="0" applyBorder="0" applyAlignment="0" applyProtection="0"/>
    <xf numFmtId="0" fontId="104" fillId="26" borderId="0" applyNumberFormat="0" applyBorder="0" applyAlignment="0" applyProtection="0"/>
    <xf numFmtId="0" fontId="89" fillId="2" borderId="59" applyNumberFormat="0" applyAlignment="0" applyProtection="0"/>
    <xf numFmtId="0" fontId="7" fillId="0" borderId="0"/>
    <xf numFmtId="0" fontId="89" fillId="2" borderId="59" applyNumberFormat="0" applyAlignment="0" applyProtection="0"/>
    <xf numFmtId="0" fontId="105" fillId="14" borderId="59" applyNumberFormat="0" applyAlignment="0" applyProtection="0"/>
    <xf numFmtId="0" fontId="99" fillId="16" borderId="0" applyNumberFormat="0" applyBorder="0" applyAlignment="0" applyProtection="0"/>
    <xf numFmtId="0" fontId="103" fillId="29" borderId="0" applyNumberFormat="0" applyBorder="0" applyAlignment="0" applyProtection="0"/>
    <xf numFmtId="0" fontId="103" fillId="21" borderId="60" applyNumberFormat="0" applyFont="0" applyAlignment="0" applyProtection="0"/>
    <xf numFmtId="0" fontId="104" fillId="26" borderId="0" applyNumberFormat="0" applyBorder="0" applyAlignment="0" applyProtection="0"/>
    <xf numFmtId="0" fontId="89" fillId="2" borderId="59" applyNumberFormat="0" applyAlignment="0" applyProtection="0"/>
    <xf numFmtId="0" fontId="103" fillId="25" borderId="0" applyNumberFormat="0" applyBorder="0" applyAlignment="0" applyProtection="0"/>
    <xf numFmtId="0" fontId="103" fillId="29" borderId="0" applyNumberFormat="0" applyBorder="0" applyAlignment="0" applyProtection="0"/>
    <xf numFmtId="0" fontId="99" fillId="18" borderId="0" applyNumberFormat="0" applyBorder="0" applyAlignment="0" applyProtection="0"/>
    <xf numFmtId="0" fontId="95" fillId="0" borderId="65" applyNumberFormat="0" applyFill="0" applyAlignment="0" applyProtection="0"/>
    <xf numFmtId="49" fontId="15" fillId="0" borderId="0" applyFill="0" applyBorder="0" applyProtection="0">
      <alignment horizontal="left"/>
    </xf>
    <xf numFmtId="0" fontId="103" fillId="23" borderId="0" applyNumberFormat="0" applyBorder="0" applyAlignment="0" applyProtection="0"/>
    <xf numFmtId="0" fontId="105" fillId="14" borderId="59" applyNumberFormat="0" applyAlignment="0" applyProtection="0"/>
    <xf numFmtId="0" fontId="103" fillId="21" borderId="60" applyNumberFormat="0" applyFont="0" applyAlignment="0" applyProtection="0"/>
    <xf numFmtId="195" fontId="15" fillId="0" borderId="0" applyFont="0" applyFill="0" applyBorder="0" applyAlignment="0" applyProtection="0">
      <alignment horizontal="left"/>
    </xf>
    <xf numFmtId="0" fontId="99" fillId="13" borderId="0" applyNumberFormat="0" applyBorder="0" applyAlignment="0" applyProtection="0"/>
    <xf numFmtId="0" fontId="103" fillId="23" borderId="0" applyNumberFormat="0" applyBorder="0" applyAlignment="0" applyProtection="0"/>
    <xf numFmtId="0" fontId="106" fillId="0" borderId="0" applyNumberFormat="0" applyFill="0" applyBorder="0" applyAlignment="0" applyProtection="0">
      <alignment vertical="top"/>
      <protection locked="0"/>
    </xf>
    <xf numFmtId="0" fontId="101" fillId="2" borderId="62" applyNumberFormat="0" applyAlignment="0" applyProtection="0"/>
    <xf numFmtId="0" fontId="98" fillId="0" borderId="0">
      <alignment horizontal="left" vertical="top"/>
    </xf>
    <xf numFmtId="0" fontId="103" fillId="12" borderId="0" applyNumberFormat="0" applyBorder="0" applyAlignment="0" applyProtection="0"/>
    <xf numFmtId="0" fontId="99" fillId="22" borderId="0" applyNumberFormat="0" applyBorder="0" applyAlignment="0" applyProtection="0"/>
    <xf numFmtId="0" fontId="26" fillId="0" borderId="0">
      <alignment horizontal="right"/>
    </xf>
    <xf numFmtId="0" fontId="88" fillId="12" borderId="0" applyNumberFormat="0" applyBorder="0" applyAlignment="0" applyProtection="0"/>
    <xf numFmtId="191" fontId="15" fillId="0" borderId="0" applyFont="0" applyFill="0" applyBorder="0" applyAlignment="0" applyProtection="0"/>
    <xf numFmtId="169" fontId="15" fillId="0" borderId="0" applyFont="0" applyFill="0" applyBorder="0" applyAlignment="0" applyProtection="0">
      <alignment horizontal="left"/>
    </xf>
    <xf numFmtId="196" fontId="92" fillId="30" borderId="0" applyNumberFormat="0" applyBorder="0">
      <protection locked="0"/>
    </xf>
    <xf numFmtId="0" fontId="89" fillId="2" borderId="59" applyNumberFormat="0" applyAlignment="0" applyProtection="0"/>
    <xf numFmtId="0" fontId="99" fillId="13" borderId="0" applyNumberFormat="0" applyBorder="0" applyAlignment="0" applyProtection="0"/>
    <xf numFmtId="0" fontId="99" fillId="22" borderId="0" applyNumberFormat="0" applyBorder="0" applyAlignment="0" applyProtection="0"/>
    <xf numFmtId="0" fontId="7" fillId="0" borderId="0"/>
    <xf numFmtId="0" fontId="101" fillId="2" borderId="62" applyNumberFormat="0" applyAlignment="0" applyProtection="0"/>
    <xf numFmtId="196" fontId="30" fillId="31" borderId="0" applyNumberFormat="0" applyBorder="0">
      <protection locked="0"/>
    </xf>
    <xf numFmtId="0" fontId="103" fillId="22" borderId="0" applyNumberFormat="0" applyBorder="0" applyAlignment="0" applyProtection="0"/>
    <xf numFmtId="0" fontId="7" fillId="0" borderId="0"/>
    <xf numFmtId="194" fontId="15" fillId="0" borderId="0" applyFont="0" applyFill="0" applyBorder="0" applyAlignment="0" applyProtection="0">
      <alignment horizontal="left"/>
    </xf>
    <xf numFmtId="0" fontId="105" fillId="14" borderId="59" applyNumberFormat="0" applyAlignment="0" applyProtection="0"/>
    <xf numFmtId="0" fontId="47" fillId="19" borderId="63" applyNumberFormat="0" applyAlignment="0" applyProtection="0"/>
    <xf numFmtId="166" fontId="15" fillId="0" borderId="0" applyFont="0" applyFill="0" applyBorder="0" applyAlignment="0" applyProtection="0"/>
    <xf numFmtId="0" fontId="103" fillId="21" borderId="60" applyNumberFormat="0" applyFont="0" applyAlignment="0" applyProtection="0"/>
    <xf numFmtId="0" fontId="7" fillId="0" borderId="0"/>
    <xf numFmtId="0" fontId="99" fillId="32" borderId="0" applyNumberFormat="0" applyBorder="0" applyAlignment="0" applyProtection="0"/>
    <xf numFmtId="0" fontId="103" fillId="14" borderId="0" applyNumberFormat="0" applyBorder="0" applyAlignment="0" applyProtection="0"/>
    <xf numFmtId="0" fontId="99" fillId="13" borderId="0" applyNumberFormat="0" applyBorder="0" applyAlignment="0" applyProtection="0"/>
    <xf numFmtId="0" fontId="103" fillId="21" borderId="60" applyNumberFormat="0" applyFont="0" applyAlignment="0" applyProtection="0"/>
    <xf numFmtId="0" fontId="89" fillId="2" borderId="59" applyNumberFormat="0" applyAlignment="0" applyProtection="0"/>
    <xf numFmtId="0" fontId="99" fillId="28" borderId="0" applyNumberFormat="0" applyBorder="0" applyAlignment="0" applyProtection="0"/>
    <xf numFmtId="0" fontId="99" fillId="22" borderId="0" applyNumberFormat="0" applyBorder="0" applyAlignment="0" applyProtection="0"/>
    <xf numFmtId="0" fontId="103" fillId="23" borderId="0" applyNumberFormat="0" applyBorder="0" applyAlignment="0" applyProtection="0"/>
    <xf numFmtId="0" fontId="15" fillId="0" borderId="0"/>
    <xf numFmtId="0" fontId="103" fillId="24" borderId="0" applyNumberFormat="0" applyBorder="0" applyAlignment="0" applyProtection="0"/>
    <xf numFmtId="0" fontId="103" fillId="22" borderId="0" applyNumberFormat="0" applyBorder="0" applyAlignment="0" applyProtection="0"/>
    <xf numFmtId="0" fontId="7" fillId="0" borderId="0"/>
    <xf numFmtId="0" fontId="7" fillId="0" borderId="0"/>
    <xf numFmtId="0" fontId="103" fillId="22" borderId="0" applyNumberFormat="0" applyBorder="0" applyAlignment="0" applyProtection="0"/>
    <xf numFmtId="0" fontId="89" fillId="2" borderId="59" applyNumberFormat="0" applyAlignment="0" applyProtection="0"/>
    <xf numFmtId="0" fontId="99" fillId="28" borderId="0" applyNumberFormat="0" applyBorder="0" applyAlignment="0" applyProtection="0"/>
    <xf numFmtId="0" fontId="103" fillId="3" borderId="0" applyNumberFormat="0" applyBorder="0" applyAlignment="0" applyProtection="0"/>
    <xf numFmtId="189" fontId="94" fillId="0" borderId="0" applyFill="0" applyBorder="0" applyAlignment="0" applyProtection="0"/>
    <xf numFmtId="0" fontId="103" fillId="21" borderId="60" applyNumberFormat="0" applyFont="0" applyAlignment="0" applyProtection="0"/>
    <xf numFmtId="0" fontId="103" fillId="25" borderId="0" applyNumberFormat="0" applyBorder="0" applyAlignment="0" applyProtection="0"/>
    <xf numFmtId="0" fontId="103" fillId="29" borderId="0" applyNumberFormat="0" applyBorder="0" applyAlignment="0" applyProtection="0"/>
    <xf numFmtId="0" fontId="7" fillId="0" borderId="0"/>
    <xf numFmtId="0" fontId="99" fillId="27" borderId="0" applyNumberFormat="0" applyBorder="0" applyAlignment="0" applyProtection="0"/>
    <xf numFmtId="9" fontId="76" fillId="0" borderId="0" applyFont="0" applyFill="0" applyBorder="0" applyAlignment="0" applyProtection="0"/>
    <xf numFmtId="0" fontId="76" fillId="0" borderId="0"/>
    <xf numFmtId="0" fontId="89" fillId="2" borderId="59" applyNumberFormat="0" applyAlignment="0" applyProtection="0"/>
    <xf numFmtId="0" fontId="7" fillId="0" borderId="0"/>
    <xf numFmtId="0" fontId="103" fillId="29" borderId="0" applyNumberFormat="0" applyBorder="0" applyAlignment="0" applyProtection="0"/>
    <xf numFmtId="0" fontId="47" fillId="19" borderId="63" applyNumberFormat="0" applyAlignment="0" applyProtection="0"/>
    <xf numFmtId="0" fontId="88" fillId="12" borderId="0" applyNumberFormat="0" applyBorder="0" applyAlignment="0" applyProtection="0"/>
    <xf numFmtId="0" fontId="99" fillId="33" borderId="0" applyNumberFormat="0" applyBorder="0" applyAlignment="0" applyProtection="0"/>
    <xf numFmtId="0" fontId="99" fillId="33" borderId="0" applyNumberFormat="0" applyBorder="0" applyAlignment="0" applyProtection="0"/>
    <xf numFmtId="13" fontId="15" fillId="0" borderId="0" applyFont="0" applyFill="0" applyProtection="0"/>
    <xf numFmtId="0" fontId="76" fillId="0" borderId="0"/>
    <xf numFmtId="166" fontId="15" fillId="0" borderId="0" applyFont="0" applyFill="0" applyBorder="0" applyAlignment="0" applyProtection="0"/>
    <xf numFmtId="0" fontId="99" fillId="32" borderId="0" applyNumberFormat="0" applyBorder="0" applyAlignment="0" applyProtection="0"/>
    <xf numFmtId="0" fontId="28" fillId="19" borderId="4"/>
    <xf numFmtId="0" fontId="105" fillId="14" borderId="59" applyNumberFormat="0" applyAlignment="0" applyProtection="0"/>
    <xf numFmtId="0" fontId="103" fillId="12" borderId="0" applyNumberFormat="0" applyBorder="0" applyAlignment="0" applyProtection="0"/>
    <xf numFmtId="0" fontId="101" fillId="2" borderId="62" applyNumberFormat="0" applyAlignment="0" applyProtection="0"/>
    <xf numFmtId="0" fontId="7" fillId="0" borderId="0"/>
    <xf numFmtId="0" fontId="7" fillId="0" borderId="0"/>
    <xf numFmtId="0" fontId="88" fillId="12" borderId="0" applyNumberFormat="0" applyBorder="0" applyAlignment="0" applyProtection="0"/>
    <xf numFmtId="0" fontId="83" fillId="0" borderId="0">
      <alignment horizontal="left"/>
    </xf>
    <xf numFmtId="0" fontId="89" fillId="2" borderId="59" applyNumberFormat="0" applyAlignment="0" applyProtection="0"/>
    <xf numFmtId="166" fontId="7" fillId="0" borderId="0" applyFont="0" applyFill="0" applyBorder="0" applyAlignment="0" applyProtection="0"/>
    <xf numFmtId="188" fontId="15" fillId="0" borderId="0" applyFont="0" applyFill="0" applyBorder="0" applyAlignment="0" applyProtection="0"/>
    <xf numFmtId="0" fontId="96" fillId="3" borderId="0" applyNumberFormat="0" applyBorder="0" applyAlignment="0" applyProtection="0"/>
    <xf numFmtId="0" fontId="15" fillId="26" borderId="0" applyNumberFormat="0" applyFont="0" applyBorder="0" applyAlignment="0"/>
    <xf numFmtId="164" fontId="15" fillId="0" borderId="0" applyFont="0" applyFill="0" applyBorder="0" applyAlignment="0" applyProtection="0">
      <alignment wrapText="1"/>
    </xf>
    <xf numFmtId="49" fontId="15" fillId="0" borderId="0" applyFill="0" applyBorder="0" applyProtection="0">
      <alignment horizontal="left"/>
    </xf>
    <xf numFmtId="0" fontId="105" fillId="14" borderId="59" applyNumberFormat="0" applyAlignment="0" applyProtection="0"/>
    <xf numFmtId="0" fontId="89" fillId="2" borderId="59" applyNumberFormat="0" applyAlignment="0" applyProtection="0"/>
    <xf numFmtId="0" fontId="99" fillId="18" borderId="0" applyNumberFormat="0" applyBorder="0" applyAlignment="0" applyProtection="0"/>
    <xf numFmtId="9" fontId="72" fillId="0" borderId="0" applyFont="0" applyFill="0" applyBorder="0" applyAlignment="0" applyProtection="0"/>
    <xf numFmtId="0" fontId="97" fillId="0" borderId="0" applyNumberFormat="0" applyFill="0" applyBorder="0" applyAlignment="0" applyProtection="0"/>
    <xf numFmtId="0" fontId="103" fillId="3" borderId="0" applyNumberFormat="0" applyBorder="0" applyAlignment="0" applyProtection="0"/>
    <xf numFmtId="0" fontId="89" fillId="2" borderId="59" applyNumberFormat="0" applyAlignment="0" applyProtection="0"/>
    <xf numFmtId="0" fontId="103" fillId="12" borderId="0" applyNumberFormat="0" applyBorder="0" applyAlignment="0" applyProtection="0"/>
    <xf numFmtId="194" fontId="15" fillId="0" borderId="0" applyFont="0" applyFill="0" applyBorder="0" applyAlignment="0" applyProtection="0">
      <alignment horizontal="left"/>
    </xf>
    <xf numFmtId="0" fontId="80" fillId="0" borderId="66" applyNumberFormat="0" applyFill="0" applyAlignment="0" applyProtection="0"/>
    <xf numFmtId="0" fontId="99" fillId="33" borderId="0" applyNumberFormat="0" applyBorder="0" applyAlignment="0" applyProtection="0"/>
    <xf numFmtId="194" fontId="15" fillId="0" borderId="0" applyFont="0" applyFill="0" applyBorder="0" applyAlignment="0" applyProtection="0">
      <alignment horizontal="left"/>
    </xf>
    <xf numFmtId="195" fontId="15" fillId="0" borderId="0" applyFont="0" applyFill="0" applyBorder="0" applyAlignment="0" applyProtection="0">
      <alignment horizontal="left"/>
    </xf>
    <xf numFmtId="0" fontId="15" fillId="0" borderId="0"/>
    <xf numFmtId="0" fontId="103" fillId="24" borderId="0" applyNumberFormat="0" applyBorder="0" applyAlignment="0" applyProtection="0"/>
    <xf numFmtId="0" fontId="103" fillId="29" borderId="0" applyNumberFormat="0" applyBorder="0" applyAlignment="0" applyProtection="0"/>
    <xf numFmtId="0" fontId="15" fillId="0" borderId="0"/>
    <xf numFmtId="0" fontId="103" fillId="17" borderId="0" applyNumberFormat="0" applyBorder="0" applyAlignment="0" applyProtection="0"/>
    <xf numFmtId="0" fontId="99" fillId="17" borderId="0" applyNumberFormat="0" applyBorder="0" applyAlignment="0" applyProtection="0"/>
    <xf numFmtId="9" fontId="76" fillId="0" borderId="0" applyFont="0" applyFill="0" applyBorder="0" applyAlignment="0" applyProtection="0"/>
    <xf numFmtId="0" fontId="101" fillId="2" borderId="62" applyNumberFormat="0" applyAlignment="0" applyProtection="0"/>
    <xf numFmtId="0" fontId="103" fillId="14" borderId="0" applyNumberFormat="0" applyBorder="0" applyAlignment="0" applyProtection="0"/>
    <xf numFmtId="4" fontId="28" fillId="0" borderId="0"/>
    <xf numFmtId="9" fontId="76" fillId="0" borderId="0" applyFont="0" applyFill="0" applyBorder="0" applyAlignment="0" applyProtection="0"/>
    <xf numFmtId="0" fontId="99" fillId="27" borderId="0" applyNumberFormat="0" applyBorder="0" applyAlignment="0" applyProtection="0"/>
    <xf numFmtId="0" fontId="99" fillId="28" borderId="0" applyNumberFormat="0" applyBorder="0" applyAlignment="0" applyProtection="0"/>
    <xf numFmtId="49" fontId="15" fillId="0" borderId="0" applyFill="0" applyBorder="0" applyProtection="0">
      <alignment horizontal="left"/>
    </xf>
    <xf numFmtId="0" fontId="81" fillId="0" borderId="0" applyNumberFormat="0" applyFont="0" applyFill="0" applyBorder="0" applyProtection="0">
      <alignment horizontal="left" vertical="center" indent="5"/>
    </xf>
    <xf numFmtId="0" fontId="99" fillId="22" borderId="0" applyNumberFormat="0" applyBorder="0" applyAlignment="0" applyProtection="0"/>
    <xf numFmtId="166" fontId="15" fillId="0" borderId="0" applyFont="0" applyFill="0" applyBorder="0" applyAlignment="0" applyProtection="0"/>
    <xf numFmtId="0" fontId="96" fillId="3" borderId="0" applyNumberFormat="0" applyBorder="0" applyAlignment="0" applyProtection="0"/>
    <xf numFmtId="0" fontId="28" fillId="19" borderId="4"/>
    <xf numFmtId="0" fontId="99" fillId="13" borderId="0" applyNumberFormat="0" applyBorder="0" applyAlignment="0" applyProtection="0"/>
    <xf numFmtId="0" fontId="103" fillId="25" borderId="0" applyNumberFormat="0" applyBorder="0" applyAlignment="0" applyProtection="0"/>
    <xf numFmtId="0" fontId="85" fillId="0" borderId="0"/>
    <xf numFmtId="9" fontId="76" fillId="0" borderId="0" applyFont="0" applyFill="0" applyBorder="0" applyAlignment="0" applyProtection="0"/>
    <xf numFmtId="0" fontId="99" fillId="32" borderId="0" applyNumberFormat="0" applyBorder="0" applyAlignment="0" applyProtection="0"/>
    <xf numFmtId="0" fontId="99" fillId="32" borderId="0" applyNumberFormat="0" applyBorder="0" applyAlignment="0" applyProtection="0"/>
    <xf numFmtId="0" fontId="99" fillId="13" borderId="0" applyNumberFormat="0" applyBorder="0" applyAlignment="0" applyProtection="0"/>
    <xf numFmtId="195" fontId="15" fillId="0" borderId="0" applyFont="0" applyFill="0" applyBorder="0" applyAlignment="0" applyProtection="0">
      <alignment horizontal="left"/>
    </xf>
    <xf numFmtId="0" fontId="101" fillId="2" borderId="62" applyNumberFormat="0" applyAlignment="0" applyProtection="0"/>
    <xf numFmtId="0" fontId="96" fillId="3" borderId="0" applyNumberFormat="0" applyBorder="0" applyAlignment="0" applyProtection="0"/>
    <xf numFmtId="0" fontId="107" fillId="0" borderId="0" applyNumberFormat="0" applyFill="0" applyBorder="0" applyAlignment="0" applyProtection="0">
      <alignment vertical="top"/>
      <protection locked="0"/>
    </xf>
    <xf numFmtId="0" fontId="105" fillId="14" borderId="59" applyNumberFormat="0" applyAlignment="0" applyProtection="0"/>
    <xf numFmtId="9" fontId="7" fillId="0" borderId="0" applyFont="0" applyFill="0" applyBorder="0" applyAlignment="0" applyProtection="0"/>
    <xf numFmtId="0" fontId="103" fillId="29" borderId="0" applyNumberFormat="0" applyBorder="0" applyAlignment="0" applyProtection="0"/>
    <xf numFmtId="0" fontId="81" fillId="19" borderId="0" applyNumberFormat="0" applyFont="0" applyBorder="0" applyAlignment="0" applyProtection="0"/>
    <xf numFmtId="0" fontId="88" fillId="12" borderId="0" applyNumberFormat="0" applyBorder="0" applyAlignment="0" applyProtection="0"/>
    <xf numFmtId="0" fontId="7" fillId="0" borderId="0"/>
    <xf numFmtId="0" fontId="76" fillId="0" borderId="0"/>
    <xf numFmtId="0" fontId="99" fillId="13" borderId="0" applyNumberFormat="0" applyBorder="0" applyAlignment="0" applyProtection="0"/>
    <xf numFmtId="0" fontId="103" fillId="29" borderId="0" applyNumberFormat="0" applyBorder="0" applyAlignment="0" applyProtection="0"/>
    <xf numFmtId="200" fontId="15" fillId="0" borderId="0" applyFont="0" applyFill="0" applyBorder="0" applyAlignment="0" applyProtection="0"/>
    <xf numFmtId="0" fontId="99" fillId="16" borderId="0" applyNumberFormat="0" applyBorder="0" applyAlignment="0" applyProtection="0"/>
    <xf numFmtId="0" fontId="103" fillId="20" borderId="0" applyNumberFormat="0" applyBorder="0" applyAlignment="0" applyProtection="0"/>
    <xf numFmtId="0" fontId="101" fillId="2" borderId="62" applyNumberFormat="0" applyAlignment="0" applyProtection="0"/>
    <xf numFmtId="0" fontId="28" fillId="19" borderId="4"/>
    <xf numFmtId="0" fontId="15" fillId="0" borderId="0"/>
    <xf numFmtId="166" fontId="15" fillId="0" borderId="0" applyFont="0" applyFill="0" applyBorder="0" applyAlignment="0" applyProtection="0"/>
    <xf numFmtId="0" fontId="99" fillId="27" borderId="0" applyNumberFormat="0" applyBorder="0" applyAlignment="0" applyProtection="0"/>
    <xf numFmtId="0" fontId="103" fillId="24" borderId="0" applyNumberFormat="0" applyBorder="0" applyAlignment="0" applyProtection="0"/>
    <xf numFmtId="0" fontId="103" fillId="14" borderId="0" applyNumberFormat="0" applyBorder="0" applyAlignment="0" applyProtection="0"/>
    <xf numFmtId="0" fontId="103" fillId="20" borderId="0" applyNumberFormat="0" applyBorder="0" applyAlignment="0" applyProtection="0"/>
    <xf numFmtId="201" fontId="15" fillId="0" borderId="0" applyFont="0" applyFill="0" applyBorder="0" applyAlignment="0" applyProtection="0"/>
    <xf numFmtId="9" fontId="15" fillId="0" borderId="0" applyFont="0" applyFill="0" applyBorder="0" applyAlignment="0" applyProtection="0"/>
    <xf numFmtId="0" fontId="26" fillId="0" borderId="0">
      <alignment horizontal="left"/>
    </xf>
    <xf numFmtId="0" fontId="105" fillId="14" borderId="59" applyNumberFormat="0" applyAlignment="0" applyProtection="0"/>
    <xf numFmtId="0" fontId="103" fillId="3" borderId="0" applyNumberFormat="0" applyBorder="0" applyAlignment="0" applyProtection="0"/>
    <xf numFmtId="0" fontId="103" fillId="3" borderId="0" applyNumberFormat="0" applyBorder="0" applyAlignment="0" applyProtection="0"/>
    <xf numFmtId="166" fontId="7" fillId="0" borderId="0" applyFont="0" applyFill="0" applyBorder="0" applyAlignment="0" applyProtection="0"/>
    <xf numFmtId="0" fontId="15" fillId="0" borderId="0"/>
    <xf numFmtId="197" fontId="94" fillId="0" borderId="0" applyFont="0" applyFill="0" applyBorder="0" applyAlignment="0" applyProtection="0"/>
    <xf numFmtId="0" fontId="99" fillId="16" borderId="0" applyNumberFormat="0" applyBorder="0" applyAlignment="0" applyProtection="0"/>
    <xf numFmtId="0" fontId="99" fillId="17" borderId="0" applyNumberFormat="0" applyBorder="0" applyAlignment="0" applyProtection="0"/>
    <xf numFmtId="0" fontId="84" fillId="0" borderId="67" applyNumberFormat="0" applyFill="0" applyAlignment="0" applyProtection="0"/>
    <xf numFmtId="0" fontId="95" fillId="0" borderId="65" applyNumberFormat="0" applyFill="0" applyAlignment="0" applyProtection="0"/>
    <xf numFmtId="0" fontId="103" fillId="20" borderId="0" applyNumberFormat="0" applyBorder="0" applyAlignment="0" applyProtection="0"/>
    <xf numFmtId="0" fontId="103" fillId="29" borderId="0" applyNumberFormat="0" applyBorder="0" applyAlignment="0" applyProtection="0"/>
    <xf numFmtId="0" fontId="103" fillId="17" borderId="0" applyNumberFormat="0" applyBorder="0" applyAlignment="0" applyProtection="0"/>
    <xf numFmtId="0" fontId="103" fillId="14" borderId="0" applyNumberFormat="0" applyBorder="0" applyAlignment="0" applyProtection="0"/>
    <xf numFmtId="0" fontId="103" fillId="21" borderId="60" applyNumberFormat="0" applyFont="0" applyAlignment="0" applyProtection="0"/>
    <xf numFmtId="0" fontId="89" fillId="2" borderId="59" applyNumberFormat="0" applyAlignment="0" applyProtection="0"/>
    <xf numFmtId="4" fontId="82" fillId="0" borderId="22" applyFill="0" applyBorder="0" applyProtection="0">
      <alignment horizontal="right" vertical="center"/>
    </xf>
    <xf numFmtId="198" fontId="94" fillId="0" borderId="0" applyFont="0" applyFill="0" applyBorder="0" applyAlignment="0" applyProtection="0"/>
    <xf numFmtId="0" fontId="103" fillId="22" borderId="0" applyNumberFormat="0" applyBorder="0" applyAlignment="0" applyProtection="0"/>
    <xf numFmtId="0" fontId="104" fillId="26" borderId="0" applyNumberFormat="0" applyBorder="0" applyAlignment="0" applyProtection="0"/>
    <xf numFmtId="190" fontId="15" fillId="0" borderId="0" applyFont="0" applyFill="0" applyBorder="0" applyAlignment="0" applyProtection="0"/>
    <xf numFmtId="164" fontId="15" fillId="0" borderId="0" applyFont="0" applyFill="0" applyBorder="0" applyAlignment="0" applyProtection="0"/>
    <xf numFmtId="188" fontId="15" fillId="0" borderId="0" applyFont="0" applyFill="0" applyBorder="0" applyAlignment="0" applyProtection="0"/>
    <xf numFmtId="0" fontId="15" fillId="14" borderId="0" applyNumberFormat="0" applyFont="0" applyBorder="0" applyAlignment="0"/>
    <xf numFmtId="0" fontId="99" fillId="33" borderId="0" applyNumberFormat="0" applyBorder="0" applyAlignment="0" applyProtection="0"/>
    <xf numFmtId="0" fontId="103" fillId="20" borderId="0" applyNumberFormat="0" applyBorder="0" applyAlignment="0" applyProtection="0"/>
    <xf numFmtId="169" fontId="15" fillId="0" borderId="0" applyFont="0" applyFill="0" applyBorder="0" applyAlignment="0" applyProtection="0">
      <alignment horizontal="left"/>
    </xf>
    <xf numFmtId="0" fontId="103" fillId="20" borderId="0" applyNumberFormat="0" applyBorder="0" applyAlignment="0" applyProtection="0"/>
    <xf numFmtId="0" fontId="6" fillId="0" borderId="0"/>
    <xf numFmtId="166" fontId="6" fillId="0" borderId="0" applyFont="0" applyFill="0" applyBorder="0" applyAlignment="0" applyProtection="0"/>
    <xf numFmtId="9" fontId="6" fillId="0" borderId="0" applyFont="0" applyFill="0" applyBorder="0" applyAlignment="0" applyProtection="0"/>
    <xf numFmtId="0" fontId="5" fillId="0" borderId="0"/>
    <xf numFmtId="166" fontId="76" fillId="0" borderId="0" applyFont="0" applyFill="0" applyBorder="0" applyAlignment="0" applyProtection="0"/>
    <xf numFmtId="9" fontId="76" fillId="0" borderId="0" applyFont="0" applyFill="0" applyBorder="0" applyAlignment="0" applyProtection="0"/>
    <xf numFmtId="0" fontId="76" fillId="0" borderId="0"/>
    <xf numFmtId="0" fontId="58" fillId="0" borderId="0"/>
    <xf numFmtId="0" fontId="109" fillId="0" borderId="0" applyNumberFormat="0" applyFill="0" applyBorder="0" applyAlignment="0" applyProtection="0">
      <alignment vertical="top"/>
      <protection locked="0"/>
    </xf>
    <xf numFmtId="205" fontId="15" fillId="0" borderId="0"/>
    <xf numFmtId="166" fontId="58" fillId="0" borderId="0" applyFont="0" applyFill="0" applyBorder="0" applyAlignment="0" applyProtection="0"/>
    <xf numFmtId="166" fontId="15" fillId="0" borderId="0" applyFont="0" applyFill="0" applyBorder="0" applyAlignment="0" applyProtection="0"/>
    <xf numFmtId="166" fontId="58" fillId="0" borderId="0" applyFont="0" applyFill="0" applyBorder="0" applyAlignment="0" applyProtection="0"/>
    <xf numFmtId="166" fontId="15" fillId="0" borderId="0" applyFont="0" applyFill="0" applyBorder="0" applyAlignment="0" applyProtection="0"/>
    <xf numFmtId="166" fontId="15" fillId="0" borderId="0" applyFont="0" applyFill="0" applyBorder="0" applyAlignment="0" applyProtection="0"/>
    <xf numFmtId="0" fontId="15"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166" fontId="58" fillId="0" borderId="0" applyFont="0" applyFill="0" applyBorder="0" applyAlignment="0" applyProtection="0"/>
    <xf numFmtId="3" fontId="15" fillId="0" borderId="0" applyFont="0" applyFill="0" applyBorder="0" applyAlignment="0" applyProtection="0"/>
    <xf numFmtId="165" fontId="15" fillId="0" borderId="0" applyFont="0" applyFill="0" applyBorder="0" applyAlignment="0" applyProtection="0"/>
    <xf numFmtId="0" fontId="15" fillId="0" borderId="0" applyBorder="0"/>
    <xf numFmtId="179" fontId="58" fillId="0" borderId="0"/>
    <xf numFmtId="179" fontId="58" fillId="0" borderId="0"/>
    <xf numFmtId="179" fontId="58" fillId="0" borderId="0"/>
    <xf numFmtId="0" fontId="15" fillId="0" borderId="0"/>
    <xf numFmtId="179" fontId="58" fillId="0" borderId="0"/>
    <xf numFmtId="0" fontId="15" fillId="0" borderId="0"/>
    <xf numFmtId="0" fontId="15" fillId="0" borderId="0"/>
    <xf numFmtId="0" fontId="15" fillId="0" borderId="0"/>
    <xf numFmtId="0" fontId="110" fillId="0" borderId="0"/>
    <xf numFmtId="205" fontId="58" fillId="0" borderId="0"/>
    <xf numFmtId="0" fontId="15" fillId="0" borderId="0"/>
    <xf numFmtId="179" fontId="58" fillId="0" borderId="0"/>
    <xf numFmtId="0" fontId="29" fillId="0" borderId="0"/>
    <xf numFmtId="205" fontId="29" fillId="0" borderId="0"/>
    <xf numFmtId="179" fontId="58" fillId="0" borderId="0"/>
    <xf numFmtId="0" fontId="15" fillId="0" borderId="0" applyBorder="0"/>
    <xf numFmtId="205" fontId="15" fillId="0" borderId="0" applyBorder="0"/>
    <xf numFmtId="0" fontId="15" fillId="0" borderId="0"/>
    <xf numFmtId="205" fontId="15" fillId="0" borderId="0"/>
    <xf numFmtId="0" fontId="111" fillId="0" borderId="0"/>
    <xf numFmtId="0" fontId="111" fillId="0" borderId="0"/>
    <xf numFmtId="0" fontId="29" fillId="0" borderId="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166" fontId="29" fillId="0" borderId="11" applyFont="0" applyAlignment="0">
      <alignment vertical="top" wrapText="1"/>
    </xf>
    <xf numFmtId="0" fontId="4" fillId="0" borderId="0"/>
    <xf numFmtId="0" fontId="76" fillId="0" borderId="0"/>
    <xf numFmtId="0" fontId="76" fillId="0" borderId="0"/>
    <xf numFmtId="0" fontId="76" fillId="0" borderId="0"/>
    <xf numFmtId="0" fontId="76" fillId="0" borderId="0"/>
    <xf numFmtId="0" fontId="3" fillId="0" borderId="0"/>
    <xf numFmtId="0" fontId="79" fillId="0" borderId="0"/>
    <xf numFmtId="0" fontId="103" fillId="34" borderId="0" applyNumberFormat="0" applyBorder="0" applyAlignment="0" applyProtection="0"/>
    <xf numFmtId="0" fontId="103" fillId="35" borderId="0" applyNumberFormat="0" applyBorder="0" applyAlignment="0" applyProtection="0"/>
    <xf numFmtId="0" fontId="103" fillId="36" borderId="0" applyNumberFormat="0" applyBorder="0" applyAlignment="0" applyProtection="0"/>
    <xf numFmtId="0" fontId="103" fillId="37" borderId="0" applyNumberFormat="0" applyBorder="0" applyAlignment="0" applyProtection="0"/>
    <xf numFmtId="0" fontId="103" fillId="38" borderId="0" applyNumberFormat="0" applyBorder="0" applyAlignment="0" applyProtection="0"/>
    <xf numFmtId="0" fontId="103" fillId="39" borderId="0" applyNumberFormat="0" applyBorder="0" applyAlignment="0" applyProtection="0"/>
    <xf numFmtId="0" fontId="103" fillId="40" borderId="0" applyNumberFormat="0" applyBorder="0" applyAlignment="0" applyProtection="0"/>
    <xf numFmtId="0" fontId="103" fillId="41" borderId="0" applyNumberFormat="0" applyBorder="0" applyAlignment="0" applyProtection="0"/>
    <xf numFmtId="0" fontId="103" fillId="42" borderId="0" applyNumberFormat="0" applyBorder="0" applyAlignment="0" applyProtection="0"/>
    <xf numFmtId="0" fontId="103" fillId="37" borderId="0" applyNumberFormat="0" applyBorder="0" applyAlignment="0" applyProtection="0"/>
    <xf numFmtId="0" fontId="103" fillId="40" borderId="0" applyNumberFormat="0" applyBorder="0" applyAlignment="0" applyProtection="0"/>
    <xf numFmtId="0" fontId="103" fillId="43" borderId="0" applyNumberFormat="0" applyBorder="0" applyAlignment="0" applyProtection="0"/>
    <xf numFmtId="0" fontId="99" fillId="44" borderId="0" applyNumberFormat="0" applyBorder="0" applyAlignment="0" applyProtection="0"/>
    <xf numFmtId="0" fontId="99" fillId="41" borderId="0" applyNumberFormat="0" applyBorder="0" applyAlignment="0" applyProtection="0"/>
    <xf numFmtId="0" fontId="99" fillId="42" borderId="0" applyNumberFormat="0" applyBorder="0" applyAlignment="0" applyProtection="0"/>
    <xf numFmtId="0" fontId="99" fillId="45" borderId="0" applyNumberFormat="0" applyBorder="0" applyAlignment="0" applyProtection="0"/>
    <xf numFmtId="0" fontId="99" fillId="46" borderId="0" applyNumberFormat="0" applyBorder="0" applyAlignment="0" applyProtection="0"/>
    <xf numFmtId="0" fontId="99" fillId="47" borderId="0" applyNumberFormat="0" applyBorder="0" applyAlignment="0" applyProtection="0"/>
    <xf numFmtId="0" fontId="99" fillId="48" borderId="0" applyNumberFormat="0" applyBorder="0" applyAlignment="0" applyProtection="0"/>
    <xf numFmtId="0" fontId="99" fillId="49" borderId="0" applyNumberFormat="0" applyBorder="0" applyAlignment="0" applyProtection="0"/>
    <xf numFmtId="0" fontId="99" fillId="50" borderId="0" applyNumberFormat="0" applyBorder="0" applyAlignment="0" applyProtection="0"/>
    <xf numFmtId="0" fontId="99" fillId="45" borderId="0" applyNumberFormat="0" applyBorder="0" applyAlignment="0" applyProtection="0"/>
    <xf numFmtId="0" fontId="99" fillId="46" borderId="0" applyNumberFormat="0" applyBorder="0" applyAlignment="0" applyProtection="0"/>
    <xf numFmtId="0" fontId="99" fillId="51" borderId="0" applyNumberFormat="0" applyBorder="0" applyAlignment="0" applyProtection="0"/>
    <xf numFmtId="0" fontId="88" fillId="35" borderId="0" applyNumberFormat="0" applyBorder="0" applyAlignment="0" applyProtection="0"/>
    <xf numFmtId="0" fontId="89" fillId="52" borderId="59" applyNumberFormat="0" applyAlignment="0" applyProtection="0"/>
    <xf numFmtId="0" fontId="47" fillId="53" borderId="63" applyNumberFormat="0" applyAlignment="0" applyProtection="0"/>
    <xf numFmtId="166" fontId="3" fillId="0" borderId="0" applyFont="0" applyFill="0" applyBorder="0" applyAlignment="0" applyProtection="0"/>
    <xf numFmtId="0" fontId="3" fillId="0" borderId="0"/>
    <xf numFmtId="0" fontId="96" fillId="36" borderId="0" applyNumberFormat="0" applyBorder="0" applyAlignment="0" applyProtection="0"/>
    <xf numFmtId="0" fontId="105" fillId="39" borderId="59" applyNumberFormat="0" applyAlignment="0" applyProtection="0"/>
    <xf numFmtId="0" fontId="104" fillId="54" borderId="0" applyNumberFormat="0" applyBorder="0" applyAlignment="0" applyProtection="0"/>
    <xf numFmtId="0" fontId="3" fillId="0" borderId="0"/>
    <xf numFmtId="0" fontId="3" fillId="0" borderId="0"/>
    <xf numFmtId="0" fontId="103" fillId="55" borderId="60" applyNumberFormat="0" applyFont="0" applyAlignment="0" applyProtection="0"/>
    <xf numFmtId="0" fontId="101" fillId="52" borderId="62" applyNumberFormat="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2" fillId="0" borderId="0"/>
    <xf numFmtId="0" fontId="79" fillId="0" borderId="0"/>
    <xf numFmtId="0" fontId="32" fillId="0" borderId="0" applyNumberFormat="0" applyFill="0" applyBorder="0" applyAlignment="0" applyProtection="0">
      <alignment vertical="top"/>
      <protection locked="0"/>
    </xf>
    <xf numFmtId="0" fontId="2" fillId="0" borderId="0"/>
    <xf numFmtId="0" fontId="2" fillId="0" borderId="0"/>
    <xf numFmtId="0" fontId="2" fillId="0" borderId="0"/>
    <xf numFmtId="9" fontId="2" fillId="0" borderId="0" applyFont="0" applyFill="0" applyBorder="0" applyAlignment="0" applyProtection="0"/>
    <xf numFmtId="166" fontId="15" fillId="0" borderId="0" applyFont="0" applyFill="0" applyBorder="0" applyAlignment="0" applyProtection="0"/>
    <xf numFmtId="0" fontId="2" fillId="0" borderId="0"/>
    <xf numFmtId="166" fontId="2" fillId="0" borderId="0" applyFont="0" applyFill="0" applyBorder="0" applyAlignment="0" applyProtection="0"/>
    <xf numFmtId="9" fontId="2" fillId="0" borderId="0" applyFont="0" applyFill="0" applyBorder="0" applyAlignment="0" applyProtection="0"/>
    <xf numFmtId="0" fontId="2" fillId="0" borderId="0"/>
    <xf numFmtId="166" fontId="2" fillId="0" borderId="0" applyFont="0" applyFill="0" applyBorder="0" applyAlignment="0" applyProtection="0"/>
    <xf numFmtId="9" fontId="2" fillId="0" borderId="0" applyFont="0" applyFill="0" applyBorder="0" applyAlignment="0" applyProtection="0"/>
    <xf numFmtId="9" fontId="79" fillId="0" borderId="0" applyFont="0" applyFill="0" applyBorder="0" applyAlignment="0" applyProtection="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6" fontId="2" fillId="0" borderId="0" applyFont="0" applyFill="0" applyBorder="0" applyAlignment="0" applyProtection="0"/>
    <xf numFmtId="9" fontId="2" fillId="0" borderId="0" applyFont="0" applyFill="0" applyBorder="0" applyAlignment="0" applyProtection="0"/>
    <xf numFmtId="0" fontId="2" fillId="0" borderId="0"/>
    <xf numFmtId="166" fontId="2" fillId="0" borderId="0" applyFont="0" applyFill="0" applyBorder="0" applyAlignment="0" applyProtection="0"/>
    <xf numFmtId="0" fontId="2" fillId="0" borderId="0"/>
    <xf numFmtId="166"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166"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6"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cellStyleXfs>
  <cellXfs count="807">
    <xf numFmtId="0" fontId="0" fillId="0" borderId="0" xfId="0"/>
    <xf numFmtId="0" fontId="0" fillId="0" borderId="4" xfId="0" applyFill="1" applyBorder="1" applyAlignment="1"/>
    <xf numFmtId="0" fontId="16" fillId="2" borderId="4" xfId="0" applyFont="1" applyFill="1" applyBorder="1" applyAlignment="1">
      <alignment vertical="center"/>
    </xf>
    <xf numFmtId="0" fontId="16" fillId="2" borderId="4" xfId="0" applyFont="1" applyFill="1" applyBorder="1" applyAlignment="1">
      <alignment horizontal="center" vertical="center" wrapText="1"/>
    </xf>
    <xf numFmtId="0" fontId="16" fillId="0" borderId="0" xfId="0" applyFont="1"/>
    <xf numFmtId="0" fontId="18" fillId="0" borderId="5" xfId="21" applyFont="1" applyFill="1" applyBorder="1" applyAlignment="1"/>
    <xf numFmtId="0" fontId="18" fillId="0" borderId="0" xfId="21" applyFont="1" applyFill="1" applyAlignment="1">
      <alignment wrapText="1"/>
    </xf>
    <xf numFmtId="0" fontId="16" fillId="0" borderId="0" xfId="21" applyAlignment="1"/>
    <xf numFmtId="0" fontId="16" fillId="0" borderId="0" xfId="21" applyBorder="1" applyAlignment="1"/>
    <xf numFmtId="0" fontId="16" fillId="0" borderId="0" xfId="21" applyFill="1" applyBorder="1" applyAlignment="1"/>
    <xf numFmtId="0" fontId="18" fillId="0" borderId="0" xfId="21" applyFont="1" applyAlignment="1">
      <alignment horizontal="left"/>
    </xf>
    <xf numFmtId="0" fontId="18" fillId="0" borderId="0" xfId="21" applyFont="1" applyFill="1" applyBorder="1" applyAlignment="1">
      <alignment horizontal="center" wrapText="1"/>
    </xf>
    <xf numFmtId="0" fontId="31" fillId="0" borderId="0" xfId="21" applyFont="1" applyFill="1" applyBorder="1" applyAlignment="1">
      <alignment horizontal="center" wrapText="1" shrinkToFit="1"/>
    </xf>
    <xf numFmtId="0" fontId="32" fillId="0" borderId="0" xfId="14" applyFill="1" applyBorder="1" applyAlignment="1" applyProtection="1"/>
    <xf numFmtId="0" fontId="18" fillId="0" borderId="0" xfId="21" applyFont="1" applyFill="1" applyBorder="1" applyAlignment="1"/>
    <xf numFmtId="0" fontId="32" fillId="0" borderId="0" xfId="14" applyAlignment="1" applyProtection="1"/>
    <xf numFmtId="173" fontId="16" fillId="0" borderId="0" xfId="21" applyNumberFormat="1" applyAlignment="1"/>
    <xf numFmtId="168" fontId="16" fillId="0" borderId="0" xfId="21" applyNumberFormat="1" applyAlignment="1"/>
    <xf numFmtId="168" fontId="16" fillId="0" borderId="0" xfId="21" applyNumberFormat="1" applyBorder="1" applyAlignment="1"/>
    <xf numFmtId="0" fontId="18" fillId="0" borderId="0" xfId="21" applyFont="1" applyAlignment="1"/>
    <xf numFmtId="0" fontId="18" fillId="0" borderId="0" xfId="21" applyFont="1" applyFill="1" applyBorder="1" applyAlignment="1">
      <alignment horizontal="left" vertical="top" wrapText="1"/>
    </xf>
    <xf numFmtId="173" fontId="18" fillId="0" borderId="0" xfId="21" applyNumberFormat="1" applyFont="1" applyFill="1" applyBorder="1" applyAlignment="1">
      <alignment horizontal="left" vertical="top" wrapText="1"/>
    </xf>
    <xf numFmtId="168" fontId="16" fillId="0" borderId="0" xfId="21" applyNumberFormat="1" applyFont="1" applyFill="1" applyBorder="1" applyAlignment="1">
      <alignment horizontal="left" vertical="top" wrapText="1"/>
    </xf>
    <xf numFmtId="0" fontId="16" fillId="0" borderId="0" xfId="21" applyFont="1" applyBorder="1" applyAlignment="1">
      <alignment horizontal="justify" vertical="top" wrapText="1"/>
    </xf>
    <xf numFmtId="15" fontId="18" fillId="0" borderId="0" xfId="21" applyNumberFormat="1" applyFont="1" applyFill="1" applyBorder="1" applyAlignment="1">
      <alignment vertical="top" wrapText="1"/>
    </xf>
    <xf numFmtId="0" fontId="18" fillId="0" borderId="0" xfId="21" applyFont="1" applyFill="1" applyBorder="1" applyAlignment="1">
      <alignment vertical="top" wrapText="1"/>
    </xf>
    <xf numFmtId="168" fontId="16" fillId="0" borderId="0" xfId="21" applyNumberFormat="1" applyFont="1" applyFill="1" applyBorder="1" applyAlignment="1">
      <alignment vertical="top"/>
    </xf>
    <xf numFmtId="0" fontId="16" fillId="0" borderId="0" xfId="21" applyFont="1" applyFill="1" applyBorder="1" applyAlignment="1">
      <alignment vertical="top"/>
    </xf>
    <xf numFmtId="0" fontId="16" fillId="0" borderId="0" xfId="21" applyFont="1" applyFill="1" applyBorder="1" applyAlignment="1">
      <alignment horizontal="left" vertical="top" wrapText="1"/>
    </xf>
    <xf numFmtId="173" fontId="16" fillId="0" borderId="0" xfId="21" applyNumberFormat="1" applyFont="1" applyFill="1" applyBorder="1" applyAlignment="1">
      <alignment horizontal="left" vertical="top" wrapText="1"/>
    </xf>
    <xf numFmtId="168" fontId="16" fillId="0" borderId="0" xfId="21" applyNumberFormat="1" applyFont="1" applyFill="1" applyBorder="1" applyAlignment="1">
      <alignment horizontal="left" vertical="top"/>
    </xf>
    <xf numFmtId="0" fontId="16" fillId="0" borderId="0" xfId="21" applyFont="1" applyFill="1" applyBorder="1" applyAlignment="1">
      <alignment horizontal="left" vertical="top"/>
    </xf>
    <xf numFmtId="173" fontId="16" fillId="0" borderId="0" xfId="21" applyNumberFormat="1" applyFont="1" applyFill="1" applyBorder="1" applyAlignment="1">
      <alignment horizontal="left" vertical="top"/>
    </xf>
    <xf numFmtId="169" fontId="16" fillId="0" borderId="0" xfId="21" applyNumberFormat="1" applyAlignment="1"/>
    <xf numFmtId="0" fontId="18" fillId="0" borderId="14" xfId="21" applyFont="1" applyFill="1" applyBorder="1" applyAlignment="1"/>
    <xf numFmtId="0" fontId="18" fillId="0" borderId="15" xfId="21" applyFont="1" applyFill="1" applyBorder="1" applyAlignment="1">
      <alignment wrapText="1"/>
    </xf>
    <xf numFmtId="0" fontId="18" fillId="0" borderId="18" xfId="21" applyFont="1" applyBorder="1" applyAlignment="1"/>
    <xf numFmtId="0" fontId="16" fillId="0" borderId="0" xfId="21" applyFont="1" applyAlignment="1"/>
    <xf numFmtId="0" fontId="16" fillId="0" borderId="17" xfId="21" applyFont="1" applyFill="1" applyBorder="1" applyAlignment="1">
      <alignment horizontal="justify" vertical="top" wrapText="1"/>
    </xf>
    <xf numFmtId="0" fontId="32" fillId="0" borderId="1" xfId="14" applyFill="1" applyBorder="1" applyAlignment="1" applyProtection="1">
      <alignment horizontal="justify" vertical="top" wrapText="1"/>
    </xf>
    <xf numFmtId="0" fontId="16" fillId="0" borderId="21" xfId="21" applyFont="1" applyFill="1" applyBorder="1" applyAlignment="1">
      <alignment horizontal="justify" vertical="top" wrapText="1"/>
    </xf>
    <xf numFmtId="0" fontId="16" fillId="0" borderId="22" xfId="21" applyFont="1" applyFill="1" applyBorder="1" applyAlignment="1">
      <alignment horizontal="justify" vertical="top" wrapText="1"/>
    </xf>
    <xf numFmtId="0" fontId="16" fillId="0" borderId="16" xfId="21" applyFont="1" applyFill="1" applyBorder="1" applyAlignment="1">
      <alignment horizontal="justify" vertical="top" wrapText="1"/>
    </xf>
    <xf numFmtId="0" fontId="16" fillId="0" borderId="4" xfId="21" applyFont="1" applyFill="1" applyBorder="1" applyAlignment="1">
      <alignment horizontal="justify" vertical="top" wrapText="1"/>
    </xf>
    <xf numFmtId="0" fontId="16" fillId="0" borderId="23" xfId="21" applyFont="1" applyFill="1" applyBorder="1" applyAlignment="1">
      <alignment horizontal="justify" vertical="top" wrapText="1"/>
    </xf>
    <xf numFmtId="0" fontId="16" fillId="0" borderId="24" xfId="21" applyFont="1" applyFill="1" applyBorder="1" applyAlignment="1">
      <alignment horizontal="justify" vertical="top" wrapText="1"/>
    </xf>
    <xf numFmtId="0" fontId="15" fillId="0" borderId="0" xfId="0" applyFont="1"/>
    <xf numFmtId="0" fontId="15" fillId="0" borderId="0" xfId="0" applyFont="1" applyFill="1" applyBorder="1"/>
    <xf numFmtId="0" fontId="18" fillId="0" borderId="0" xfId="0" applyFont="1"/>
    <xf numFmtId="0" fontId="18" fillId="0" borderId="0" xfId="0" applyFont="1" applyAlignment="1">
      <alignment horizontal="left" indent="6"/>
    </xf>
    <xf numFmtId="0" fontId="15" fillId="0" borderId="4" xfId="0" applyFont="1" applyBorder="1"/>
    <xf numFmtId="0" fontId="18" fillId="0" borderId="4" xfId="0" applyFont="1" applyBorder="1"/>
    <xf numFmtId="0" fontId="15" fillId="0" borderId="4" xfId="0" applyFont="1" applyBorder="1" applyAlignment="1">
      <alignment vertical="top" wrapText="1"/>
    </xf>
    <xf numFmtId="0" fontId="15" fillId="0" borderId="4" xfId="0" applyFont="1" applyBorder="1" applyAlignment="1">
      <alignment horizontal="center" vertical="top" wrapText="1"/>
    </xf>
    <xf numFmtId="9" fontId="15" fillId="0" borderId="4" xfId="0" applyNumberFormat="1" applyFont="1" applyBorder="1" applyAlignment="1">
      <alignment horizontal="center" vertical="top" wrapText="1"/>
    </xf>
    <xf numFmtId="10" fontId="15" fillId="0" borderId="4" xfId="0" applyNumberFormat="1" applyFont="1" applyBorder="1" applyAlignment="1">
      <alignment horizontal="center" vertical="top" wrapText="1"/>
    </xf>
    <xf numFmtId="0" fontId="15" fillId="0" borderId="24" xfId="0" applyFont="1" applyBorder="1" applyAlignment="1">
      <alignment vertical="top" wrapText="1"/>
    </xf>
    <xf numFmtId="0" fontId="18" fillId="0" borderId="0" xfId="0" applyFont="1" applyAlignment="1">
      <alignment horizontal="center"/>
    </xf>
    <xf numFmtId="0" fontId="15" fillId="0" borderId="0" xfId="0" applyFont="1" applyFill="1" applyBorder="1" applyAlignment="1">
      <alignment vertical="top" wrapText="1"/>
    </xf>
    <xf numFmtId="0" fontId="15" fillId="0" borderId="0" xfId="0" applyFont="1" applyFill="1" applyBorder="1" applyAlignment="1">
      <alignment horizontal="center" vertical="top" wrapText="1"/>
    </xf>
    <xf numFmtId="0" fontId="18" fillId="0" borderId="0" xfId="0" applyFont="1" applyFill="1" applyBorder="1" applyAlignment="1">
      <alignment horizontal="center" vertical="top" wrapText="1"/>
    </xf>
    <xf numFmtId="9" fontId="15" fillId="0" borderId="0" xfId="0" applyNumberFormat="1" applyFont="1" applyFill="1" applyBorder="1" applyAlignment="1">
      <alignment horizontal="center" vertical="top" wrapText="1"/>
    </xf>
    <xf numFmtId="3" fontId="15" fillId="0" borderId="0" xfId="0" applyNumberFormat="1" applyFont="1" applyFill="1" applyBorder="1" applyAlignment="1">
      <alignment vertical="top" wrapText="1"/>
    </xf>
    <xf numFmtId="0" fontId="0" fillId="0" borderId="0" xfId="0" applyFill="1" applyBorder="1"/>
    <xf numFmtId="0" fontId="61" fillId="0" borderId="0" xfId="0" applyFont="1" applyFill="1" applyBorder="1" applyAlignment="1">
      <alignment horizontal="center"/>
    </xf>
    <xf numFmtId="10" fontId="15" fillId="0" borderId="0" xfId="0" applyNumberFormat="1" applyFont="1" applyFill="1" applyBorder="1" applyAlignment="1">
      <alignment horizontal="center" vertical="top" wrapText="1"/>
    </xf>
    <xf numFmtId="0" fontId="32" fillId="0" borderId="0" xfId="14" applyAlignment="1" applyProtection="1">
      <alignment horizontal="left" indent="6"/>
    </xf>
    <xf numFmtId="0" fontId="31" fillId="5" borderId="28" xfId="0" applyFont="1" applyFill="1" applyBorder="1" applyAlignment="1">
      <alignment vertical="top" wrapText="1"/>
    </xf>
    <xf numFmtId="0" fontId="31" fillId="5" borderId="29" xfId="0" applyFont="1" applyFill="1" applyBorder="1" applyAlignment="1">
      <alignment horizontal="center" vertical="top" wrapText="1"/>
    </xf>
    <xf numFmtId="0" fontId="14" fillId="0" borderId="30" xfId="0" applyFont="1" applyBorder="1" applyAlignment="1">
      <alignment vertical="top" wrapText="1"/>
    </xf>
    <xf numFmtId="0" fontId="14" fillId="0" borderId="8" xfId="0" applyFont="1" applyBorder="1" applyAlignment="1">
      <alignment horizontal="center" vertical="top" wrapText="1"/>
    </xf>
    <xf numFmtId="0" fontId="14" fillId="0" borderId="8" xfId="0" applyFont="1" applyBorder="1" applyAlignment="1">
      <alignment vertical="top" wrapText="1"/>
    </xf>
    <xf numFmtId="9" fontId="14" fillId="0" borderId="8" xfId="0" applyNumberFormat="1" applyFont="1" applyBorder="1" applyAlignment="1">
      <alignment horizontal="center" vertical="top" wrapText="1"/>
    </xf>
    <xf numFmtId="10" fontId="14" fillId="0" borderId="8" xfId="0" applyNumberFormat="1" applyFont="1" applyBorder="1" applyAlignment="1">
      <alignment horizontal="center" vertical="top" wrapText="1"/>
    </xf>
    <xf numFmtId="0" fontId="40" fillId="0" borderId="0" xfId="0" applyFont="1"/>
    <xf numFmtId="0" fontId="62" fillId="0" borderId="0" xfId="22" applyFont="1"/>
    <xf numFmtId="0" fontId="60" fillId="0" borderId="0" xfId="22"/>
    <xf numFmtId="0" fontId="15" fillId="0" borderId="0" xfId="20"/>
    <xf numFmtId="0" fontId="15" fillId="0" borderId="0" xfId="20" applyFont="1"/>
    <xf numFmtId="0" fontId="18" fillId="0" borderId="0" xfId="20" applyFont="1"/>
    <xf numFmtId="0" fontId="18" fillId="6" borderId="4" xfId="20" applyFont="1" applyFill="1" applyBorder="1"/>
    <xf numFmtId="0" fontId="19" fillId="0" borderId="4" xfId="20" applyFont="1" applyBorder="1"/>
    <xf numFmtId="0" fontId="15" fillId="0" borderId="4" xfId="20" applyBorder="1"/>
    <xf numFmtId="0" fontId="34" fillId="0" borderId="0" xfId="20" applyFont="1" applyAlignment="1">
      <alignment wrapText="1"/>
    </xf>
    <xf numFmtId="171" fontId="15" fillId="0" borderId="0" xfId="20" applyNumberFormat="1"/>
    <xf numFmtId="171" fontId="15" fillId="0" borderId="4" xfId="20" applyNumberFormat="1" applyBorder="1"/>
    <xf numFmtId="0" fontId="0" fillId="0" borderId="0" xfId="0" applyFill="1"/>
    <xf numFmtId="0" fontId="60" fillId="7" borderId="0" xfId="22" applyFill="1"/>
    <xf numFmtId="0" fontId="60" fillId="0" borderId="0" xfId="22" applyFont="1"/>
    <xf numFmtId="0" fontId="46" fillId="0" borderId="30" xfId="0" applyFont="1" applyBorder="1" applyAlignment="1">
      <alignment vertical="top" wrapText="1"/>
    </xf>
    <xf numFmtId="0" fontId="15" fillId="0" borderId="0" xfId="20" applyFill="1"/>
    <xf numFmtId="0" fontId="18" fillId="0" borderId="0" xfId="20" applyFont="1" applyFill="1"/>
    <xf numFmtId="0" fontId="60" fillId="0" borderId="0" xfId="22" applyFont="1"/>
    <xf numFmtId="0" fontId="0" fillId="0" borderId="9" xfId="0" applyBorder="1"/>
    <xf numFmtId="0" fontId="0" fillId="0" borderId="10" xfId="0" applyBorder="1"/>
    <xf numFmtId="0" fontId="15" fillId="0" borderId="0" xfId="20" applyBorder="1"/>
    <xf numFmtId="0" fontId="0" fillId="0" borderId="0" xfId="0" applyBorder="1"/>
    <xf numFmtId="0" fontId="0" fillId="0" borderId="6" xfId="0" applyBorder="1"/>
    <xf numFmtId="0" fontId="15" fillId="0" borderId="0" xfId="20" applyFill="1" applyBorder="1"/>
    <xf numFmtId="0" fontId="0" fillId="0" borderId="19" xfId="0" applyBorder="1"/>
    <xf numFmtId="0" fontId="15" fillId="0" borderId="19" xfId="0" applyFont="1" applyBorder="1"/>
    <xf numFmtId="0" fontId="0" fillId="0" borderId="20" xfId="0" applyBorder="1"/>
    <xf numFmtId="0" fontId="0" fillId="0" borderId="7" xfId="0" applyBorder="1"/>
    <xf numFmtId="0" fontId="0" fillId="0" borderId="8" xfId="0" applyBorder="1"/>
    <xf numFmtId="0" fontId="38" fillId="0" borderId="0" xfId="0" applyFont="1"/>
    <xf numFmtId="0" fontId="15" fillId="0" borderId="9" xfId="0" applyFont="1" applyBorder="1"/>
    <xf numFmtId="0" fontId="15" fillId="0" borderId="0" xfId="0" applyFont="1" applyBorder="1"/>
    <xf numFmtId="0" fontId="15" fillId="2" borderId="4" xfId="0" applyFont="1" applyFill="1" applyBorder="1" applyAlignment="1">
      <alignment vertical="center"/>
    </xf>
    <xf numFmtId="0" fontId="0" fillId="0" borderId="4" xfId="0" applyBorder="1"/>
    <xf numFmtId="0" fontId="16" fillId="0" borderId="0" xfId="0" applyFont="1" applyAlignment="1">
      <alignment horizontal="center"/>
    </xf>
    <xf numFmtId="0" fontId="15" fillId="0" borderId="0" xfId="0" applyFont="1" applyBorder="1" applyAlignment="1">
      <alignment horizontal="center"/>
    </xf>
    <xf numFmtId="0" fontId="0" fillId="0" borderId="0" xfId="0" applyBorder="1" applyAlignment="1">
      <alignment horizontal="center"/>
    </xf>
    <xf numFmtId="0" fontId="0" fillId="0" borderId="0" xfId="0" applyAlignment="1">
      <alignment horizontal="center"/>
    </xf>
    <xf numFmtId="0" fontId="20" fillId="0" borderId="0" xfId="0" applyFont="1" applyBorder="1"/>
    <xf numFmtId="0" fontId="16" fillId="0" borderId="0" xfId="0" applyFont="1" applyBorder="1" applyAlignment="1">
      <alignment horizontal="center"/>
    </xf>
    <xf numFmtId="0" fontId="15" fillId="0" borderId="0" xfId="0" applyFont="1" applyBorder="1" applyAlignment="1">
      <alignment horizontal="left"/>
    </xf>
    <xf numFmtId="0" fontId="16" fillId="0" borderId="20" xfId="0" applyFont="1" applyBorder="1" applyAlignment="1">
      <alignment horizontal="center"/>
    </xf>
    <xf numFmtId="0" fontId="0" fillId="0" borderId="7" xfId="0" applyBorder="1" applyAlignment="1">
      <alignment horizontal="center"/>
    </xf>
    <xf numFmtId="0" fontId="16" fillId="0" borderId="7" xfId="0" applyFont="1" applyBorder="1" applyAlignment="1">
      <alignment horizontal="center"/>
    </xf>
    <xf numFmtId="0" fontId="15" fillId="0" borderId="7" xfId="0" applyFont="1" applyBorder="1" applyAlignment="1">
      <alignment horizontal="left"/>
    </xf>
    <xf numFmtId="0" fontId="0" fillId="0" borderId="6" xfId="0" applyFill="1" applyBorder="1"/>
    <xf numFmtId="0" fontId="40" fillId="0" borderId="0" xfId="0" applyFont="1" applyAlignment="1">
      <alignment horizontal="left"/>
    </xf>
    <xf numFmtId="0" fontId="15" fillId="0" borderId="4" xfId="0" applyFont="1" applyFill="1" applyBorder="1" applyAlignment="1">
      <alignment horizontal="center"/>
    </xf>
    <xf numFmtId="0" fontId="16" fillId="0" borderId="18" xfId="0" applyFont="1" applyBorder="1" applyAlignment="1">
      <alignment wrapText="1"/>
    </xf>
    <xf numFmtId="0" fontId="15" fillId="0" borderId="0" xfId="20" applyFont="1" applyFill="1"/>
    <xf numFmtId="2" fontId="15" fillId="0" borderId="0" xfId="20" applyNumberFormat="1" applyFill="1" applyBorder="1"/>
    <xf numFmtId="171" fontId="15" fillId="0" borderId="0" xfId="20" applyNumberFormat="1" applyFill="1" applyBorder="1"/>
    <xf numFmtId="169" fontId="15" fillId="0" borderId="0" xfId="20" applyNumberFormat="1" applyFill="1" applyBorder="1"/>
    <xf numFmtId="179" fontId="15" fillId="0" borderId="0" xfId="20" applyNumberFormat="1" applyFill="1" applyBorder="1"/>
    <xf numFmtId="0" fontId="15" fillId="0" borderId="0" xfId="18"/>
    <xf numFmtId="0" fontId="15" fillId="2" borderId="4" xfId="18" applyFont="1" applyFill="1" applyBorder="1" applyAlignment="1">
      <alignment vertical="center"/>
    </xf>
    <xf numFmtId="0" fontId="15" fillId="2" borderId="4" xfId="18" applyFont="1" applyFill="1" applyBorder="1" applyAlignment="1">
      <alignment horizontal="center" vertical="center" wrapText="1"/>
    </xf>
    <xf numFmtId="0" fontId="15" fillId="0" borderId="0" xfId="18" quotePrefix="1" applyFont="1"/>
    <xf numFmtId="0" fontId="15" fillId="0" borderId="18" xfId="18" applyFont="1" applyBorder="1"/>
    <xf numFmtId="0" fontId="15" fillId="0" borderId="9" xfId="18" applyFont="1" applyBorder="1"/>
    <xf numFmtId="0" fontId="15" fillId="0" borderId="9" xfId="18" applyBorder="1"/>
    <xf numFmtId="0" fontId="15" fillId="0" borderId="10" xfId="18" applyBorder="1"/>
    <xf numFmtId="0" fontId="15" fillId="0" borderId="19" xfId="18" applyFont="1" applyBorder="1"/>
    <xf numFmtId="0" fontId="15" fillId="0" borderId="0" xfId="18" applyFont="1" applyBorder="1"/>
    <xf numFmtId="0" fontId="15" fillId="0" borderId="0" xfId="18" applyBorder="1"/>
    <xf numFmtId="0" fontId="15" fillId="0" borderId="6" xfId="18" applyBorder="1"/>
    <xf numFmtId="0" fontId="15" fillId="0" borderId="19" xfId="18" applyBorder="1"/>
    <xf numFmtId="0" fontId="20" fillId="0" borderId="0" xfId="18" applyFont="1" applyBorder="1"/>
    <xf numFmtId="0" fontId="15" fillId="0" borderId="0" xfId="18" applyBorder="1" applyAlignment="1">
      <alignment horizontal="center"/>
    </xf>
    <xf numFmtId="0" fontId="15" fillId="0" borderId="0" xfId="18" applyFont="1" applyBorder="1" applyAlignment="1">
      <alignment horizontal="left"/>
    </xf>
    <xf numFmtId="0" fontId="15" fillId="0" borderId="7" xfId="18" applyBorder="1"/>
    <xf numFmtId="0" fontId="15" fillId="0" borderId="8" xfId="18" applyBorder="1"/>
    <xf numFmtId="0" fontId="15" fillId="0" borderId="0" xfId="18" applyFill="1"/>
    <xf numFmtId="0" fontId="15" fillId="0" borderId="0" xfId="18" applyFont="1"/>
    <xf numFmtId="0" fontId="15" fillId="4" borderId="40" xfId="18" applyFont="1" applyFill="1" applyBorder="1" applyAlignment="1">
      <alignment horizontal="left" indent="1"/>
    </xf>
    <xf numFmtId="0" fontId="15" fillId="4" borderId="40" xfId="18" applyNumberFormat="1" applyFont="1" applyFill="1" applyBorder="1" applyAlignment="1">
      <alignment horizontal="left" indent="1"/>
    </xf>
    <xf numFmtId="0" fontId="15" fillId="0" borderId="0" xfId="18" applyFont="1" applyFill="1"/>
    <xf numFmtId="0" fontId="15" fillId="0" borderId="0" xfId="18" applyFont="1" applyFill="1" applyBorder="1" applyAlignment="1">
      <alignment horizontal="left"/>
    </xf>
    <xf numFmtId="0" fontId="15" fillId="0" borderId="0" xfId="18" applyFill="1" applyBorder="1"/>
    <xf numFmtId="0" fontId="15" fillId="0" borderId="6" xfId="18" applyFill="1" applyBorder="1"/>
    <xf numFmtId="0" fontId="15" fillId="0" borderId="18" xfId="0" applyFont="1" applyBorder="1"/>
    <xf numFmtId="0" fontId="40" fillId="0" borderId="0" xfId="18" applyFont="1"/>
    <xf numFmtId="0" fontId="15" fillId="0" borderId="0" xfId="19" applyFont="1" applyFill="1"/>
    <xf numFmtId="0" fontId="18" fillId="0" borderId="0" xfId="21" applyFont="1" applyBorder="1" applyAlignment="1"/>
    <xf numFmtId="0" fontId="50" fillId="0" borderId="0" xfId="18" applyFont="1" applyFill="1" applyBorder="1"/>
    <xf numFmtId="0" fontId="63" fillId="0" borderId="0" xfId="23" applyFont="1" applyAlignment="1">
      <alignment horizontal="left" vertical="center"/>
    </xf>
    <xf numFmtId="0" fontId="60" fillId="0" borderId="0" xfId="23"/>
    <xf numFmtId="0" fontId="64" fillId="0" borderId="0" xfId="23" applyFont="1" applyAlignment="1">
      <alignment horizontal="left" vertical="center"/>
    </xf>
    <xf numFmtId="0" fontId="64" fillId="0" borderId="0" xfId="23" applyFont="1" applyAlignment="1">
      <alignment horizontal="center" vertical="center"/>
    </xf>
    <xf numFmtId="0" fontId="16" fillId="0" borderId="0" xfId="21" applyFill="1" applyAlignment="1"/>
    <xf numFmtId="0" fontId="34" fillId="0" borderId="0" xfId="0" applyFont="1"/>
    <xf numFmtId="2" fontId="16" fillId="0" borderId="0" xfId="21" applyNumberFormat="1" applyFill="1" applyBorder="1" applyAlignment="1"/>
    <xf numFmtId="169" fontId="16" fillId="0" borderId="0" xfId="21" applyNumberFormat="1" applyFill="1" applyBorder="1" applyAlignment="1"/>
    <xf numFmtId="172" fontId="16" fillId="0" borderId="0" xfId="21" applyNumberFormat="1" applyFill="1" applyBorder="1" applyAlignment="1"/>
    <xf numFmtId="168" fontId="16" fillId="0" borderId="0" xfId="21" applyNumberFormat="1" applyFill="1" applyBorder="1" applyAlignment="1"/>
    <xf numFmtId="0" fontId="18" fillId="0" borderId="0" xfId="21" applyFont="1" applyFill="1" applyAlignment="1">
      <alignment horizontal="left"/>
    </xf>
    <xf numFmtId="0" fontId="15" fillId="0" borderId="0" xfId="21" applyFont="1" applyAlignment="1">
      <alignment horizontal="left"/>
    </xf>
    <xf numFmtId="0" fontId="38" fillId="0" borderId="0" xfId="14" applyFont="1" applyFill="1" applyBorder="1" applyAlignment="1" applyProtection="1"/>
    <xf numFmtId="0" fontId="32" fillId="0" borderId="0" xfId="14" applyFont="1" applyFill="1" applyBorder="1" applyAlignment="1" applyProtection="1"/>
    <xf numFmtId="0" fontId="67" fillId="0" borderId="0" xfId="0" applyFont="1"/>
    <xf numFmtId="0" fontId="68" fillId="0" borderId="0" xfId="0" applyFont="1"/>
    <xf numFmtId="0" fontId="18" fillId="0" borderId="0" xfId="0" applyFont="1" applyAlignment="1">
      <alignment horizontal="left"/>
    </xf>
    <xf numFmtId="0" fontId="18" fillId="0" borderId="0" xfId="18" applyFont="1"/>
    <xf numFmtId="169" fontId="15" fillId="0" borderId="0" xfId="18" applyNumberFormat="1" applyFill="1" applyBorder="1" applyAlignment="1"/>
    <xf numFmtId="0" fontId="15" fillId="0" borderId="38" xfId="18" applyFill="1" applyBorder="1" applyAlignment="1"/>
    <xf numFmtId="0" fontId="15" fillId="0" borderId="0" xfId="18" applyFill="1" applyBorder="1" applyAlignment="1"/>
    <xf numFmtId="0" fontId="18" fillId="0" borderId="5" xfId="18" applyFont="1" applyFill="1" applyBorder="1" applyAlignment="1">
      <alignment horizontal="left" vertical="center" wrapText="1" indent="1"/>
    </xf>
    <xf numFmtId="0" fontId="0" fillId="0" borderId="4" xfId="0" applyFill="1" applyBorder="1" applyAlignment="1">
      <alignment wrapText="1"/>
    </xf>
    <xf numFmtId="0" fontId="0" fillId="0" borderId="0" xfId="0" applyFill="1" applyBorder="1" applyAlignment="1">
      <alignment wrapText="1"/>
    </xf>
    <xf numFmtId="172" fontId="0" fillId="0" borderId="0" xfId="0" applyNumberFormat="1" applyFill="1" applyBorder="1" applyAlignment="1"/>
    <xf numFmtId="0" fontId="15" fillId="0" borderId="19" xfId="0" applyFont="1" applyBorder="1" applyAlignment="1">
      <alignment horizontal="center"/>
    </xf>
    <xf numFmtId="0" fontId="67" fillId="0" borderId="0" xfId="0" applyFont="1" applyBorder="1"/>
    <xf numFmtId="0" fontId="68" fillId="0" borderId="0" xfId="0" applyFont="1" applyBorder="1"/>
    <xf numFmtId="0" fontId="16" fillId="0" borderId="0" xfId="19" applyFill="1"/>
    <xf numFmtId="0" fontId="18" fillId="5" borderId="10" xfId="0" applyFont="1" applyFill="1" applyBorder="1" applyAlignment="1">
      <alignment horizontal="center" wrapText="1"/>
    </xf>
    <xf numFmtId="0" fontId="18" fillId="5" borderId="8" xfId="0" applyFont="1" applyFill="1" applyBorder="1" applyAlignment="1">
      <alignment horizontal="center" wrapText="1"/>
    </xf>
    <xf numFmtId="0" fontId="15" fillId="0" borderId="30" xfId="0" applyFont="1" applyBorder="1"/>
    <xf numFmtId="0" fontId="15" fillId="0" borderId="0" xfId="0" applyFont="1" applyFill="1" applyAlignment="1">
      <alignment horizontal="left" vertical="top"/>
    </xf>
    <xf numFmtId="0" fontId="44" fillId="0" borderId="0" xfId="0" applyFont="1" applyFill="1" applyAlignment="1"/>
    <xf numFmtId="0" fontId="15" fillId="0" borderId="0" xfId="18" applyFont="1" applyFill="1" applyBorder="1" applyAlignment="1">
      <alignment horizontal="left" vertical="top"/>
    </xf>
    <xf numFmtId="0" fontId="0" fillId="0" borderId="0" xfId="0" applyFill="1" applyBorder="1" applyAlignment="1"/>
    <xf numFmtId="0" fontId="15" fillId="0" borderId="0" xfId="0" applyFont="1" applyFill="1" applyBorder="1" applyAlignment="1">
      <alignment horizontal="left" vertical="top"/>
    </xf>
    <xf numFmtId="0" fontId="15" fillId="0" borderId="0" xfId="18" applyFont="1" applyFill="1" applyBorder="1" applyAlignment="1">
      <alignment vertical="top"/>
    </xf>
    <xf numFmtId="0" fontId="18" fillId="0" borderId="0" xfId="0" applyNumberFormat="1" applyFont="1" applyAlignment="1"/>
    <xf numFmtId="0" fontId="18" fillId="0" borderId="0" xfId="0" applyFont="1" applyAlignment="1"/>
    <xf numFmtId="0" fontId="15" fillId="0" borderId="4" xfId="21" applyFont="1" applyBorder="1" applyAlignment="1"/>
    <xf numFmtId="0" fontId="60" fillId="7" borderId="0" xfId="22" applyFont="1" applyFill="1"/>
    <xf numFmtId="0" fontId="60" fillId="0" borderId="0" xfId="22" applyFill="1"/>
    <xf numFmtId="184" fontId="34" fillId="0" borderId="0" xfId="20" applyNumberFormat="1" applyFont="1" applyAlignment="1">
      <alignment wrapText="1"/>
    </xf>
    <xf numFmtId="0" fontId="18" fillId="0" borderId="4" xfId="21" applyFont="1" applyFill="1" applyBorder="1" applyAlignment="1"/>
    <xf numFmtId="0" fontId="18" fillId="0" borderId="4" xfId="21" applyFont="1" applyFill="1" applyBorder="1" applyAlignment="1">
      <alignment horizontal="center" vertical="center" wrapText="1"/>
    </xf>
    <xf numFmtId="0" fontId="18" fillId="0" borderId="4" xfId="21" applyFont="1" applyFill="1" applyBorder="1" applyAlignment="1">
      <alignment wrapText="1"/>
    </xf>
    <xf numFmtId="173" fontId="18" fillId="0" borderId="4" xfId="21" applyNumberFormat="1" applyFont="1" applyFill="1" applyBorder="1" applyAlignment="1">
      <alignment horizontal="center" vertical="center" wrapText="1"/>
    </xf>
    <xf numFmtId="0" fontId="15" fillId="2" borderId="4" xfId="21" applyFont="1" applyFill="1" applyBorder="1" applyAlignment="1">
      <alignment horizontal="center" vertical="center"/>
    </xf>
    <xf numFmtId="0" fontId="15" fillId="2" borderId="4" xfId="21" quotePrefix="1" applyFont="1" applyFill="1" applyBorder="1" applyAlignment="1">
      <alignment horizontal="center" vertical="center" wrapText="1"/>
    </xf>
    <xf numFmtId="0" fontId="15" fillId="2" borderId="4" xfId="21" applyFont="1" applyFill="1" applyBorder="1" applyAlignment="1">
      <alignment horizontal="center" vertical="center" wrapText="1"/>
    </xf>
    <xf numFmtId="173" fontId="15" fillId="2" borderId="4" xfId="21" applyNumberFormat="1" applyFont="1" applyFill="1" applyBorder="1" applyAlignment="1">
      <alignment horizontal="center" vertical="center" wrapText="1"/>
    </xf>
    <xf numFmtId="0" fontId="15" fillId="0" borderId="4" xfId="21" applyFont="1" applyFill="1" applyBorder="1" applyAlignment="1"/>
    <xf numFmtId="0" fontId="16" fillId="0" borderId="0" xfId="21" applyFill="1" applyAlignment="1">
      <alignment wrapText="1"/>
    </xf>
    <xf numFmtId="0" fontId="16" fillId="0" borderId="18" xfId="21" applyBorder="1" applyAlignment="1"/>
    <xf numFmtId="173" fontId="16" fillId="0" borderId="9" xfId="21" applyNumberFormat="1" applyBorder="1" applyAlignment="1"/>
    <xf numFmtId="168" fontId="16" fillId="0" borderId="10" xfId="21" applyNumberFormat="1" applyBorder="1" applyAlignment="1"/>
    <xf numFmtId="0" fontId="35" fillId="0" borderId="19" xfId="21" applyFont="1" applyFill="1" applyBorder="1" applyAlignment="1"/>
    <xf numFmtId="0" fontId="16" fillId="0" borderId="5" xfId="21" applyFont="1" applyFill="1" applyBorder="1" applyAlignment="1">
      <alignment horizontal="justify" vertical="top" wrapText="1"/>
    </xf>
    <xf numFmtId="0" fontId="32" fillId="0" borderId="14" xfId="14" applyFill="1" applyBorder="1" applyAlignment="1" applyProtection="1">
      <alignment horizontal="justify" vertical="top" wrapText="1"/>
    </xf>
    <xf numFmtId="0" fontId="15" fillId="0" borderId="0" xfId="0" applyFont="1" applyBorder="1" applyAlignment="1">
      <alignment vertical="top" wrapText="1"/>
    </xf>
    <xf numFmtId="0" fontId="14" fillId="0" borderId="0" xfId="0" applyFont="1" applyAlignment="1">
      <alignment horizontal="justify"/>
    </xf>
    <xf numFmtId="0" fontId="0" fillId="0" borderId="0" xfId="0" applyAlignment="1"/>
    <xf numFmtId="0" fontId="15" fillId="0" borderId="0" xfId="20" applyFont="1" applyAlignment="1">
      <alignment horizontal="left"/>
    </xf>
    <xf numFmtId="0" fontId="15" fillId="0" borderId="0" xfId="20" applyBorder="1" applyAlignment="1">
      <alignment horizontal="left"/>
    </xf>
    <xf numFmtId="0" fontId="18" fillId="0" borderId="0" xfId="20" applyFont="1" applyFill="1" applyBorder="1"/>
    <xf numFmtId="0" fontId="18" fillId="0" borderId="31" xfId="20" applyFont="1" applyBorder="1"/>
    <xf numFmtId="0" fontId="15" fillId="0" borderId="32" xfId="0" applyFont="1" applyBorder="1"/>
    <xf numFmtId="0" fontId="15" fillId="0" borderId="0" xfId="20" applyFont="1" applyBorder="1" applyAlignment="1">
      <alignment horizontal="left"/>
    </xf>
    <xf numFmtId="0" fontId="68" fillId="0" borderId="0" xfId="0" applyFont="1" applyBorder="1" applyAlignment="1">
      <alignment horizontal="left"/>
    </xf>
    <xf numFmtId="0" fontId="13" fillId="0" borderId="0" xfId="23" applyFont="1"/>
    <xf numFmtId="0" fontId="70" fillId="0" borderId="0" xfId="0" applyFont="1" applyFill="1" applyBorder="1" applyAlignment="1">
      <alignment horizontal="left" vertical="center" wrapText="1" indent="1"/>
    </xf>
    <xf numFmtId="0" fontId="0" fillId="0" borderId="0" xfId="0" applyAlignment="1"/>
    <xf numFmtId="0" fontId="18" fillId="5" borderId="46" xfId="0" applyFont="1" applyFill="1" applyBorder="1" applyAlignment="1"/>
    <xf numFmtId="169" fontId="15" fillId="0" borderId="0" xfId="0" applyNumberFormat="1" applyFont="1" applyBorder="1"/>
    <xf numFmtId="168" fontId="15" fillId="0" borderId="0" xfId="0" applyNumberFormat="1" applyFont="1" applyBorder="1"/>
    <xf numFmtId="0" fontId="49" fillId="0" borderId="0" xfId="0" applyFont="1" applyFill="1" applyBorder="1" applyAlignment="1">
      <alignment horizontal="left"/>
    </xf>
    <xf numFmtId="0" fontId="50" fillId="0" borderId="0" xfId="0" applyFont="1" applyFill="1" applyBorder="1" applyAlignment="1">
      <alignment horizontal="left"/>
    </xf>
    <xf numFmtId="0" fontId="51" fillId="0" borderId="4" xfId="0" applyFont="1" applyFill="1" applyBorder="1" applyAlignment="1">
      <alignment horizontal="center" vertical="center" wrapText="1"/>
    </xf>
    <xf numFmtId="0" fontId="59" fillId="0" borderId="0" xfId="0" applyFont="1" applyFill="1" applyBorder="1"/>
    <xf numFmtId="0" fontId="50" fillId="0" borderId="0" xfId="0" applyFont="1" applyFill="1" applyBorder="1" applyAlignment="1">
      <alignment horizontal="center"/>
    </xf>
    <xf numFmtId="0" fontId="50" fillId="0" borderId="0" xfId="0" applyFont="1" applyFill="1" applyBorder="1" applyAlignment="1">
      <alignment horizontal="center" wrapText="1"/>
    </xf>
    <xf numFmtId="0" fontId="50" fillId="0" borderId="0" xfId="0" applyFont="1" applyFill="1" applyBorder="1"/>
    <xf numFmtId="0" fontId="50" fillId="0" borderId="4" xfId="0" applyFont="1" applyFill="1" applyBorder="1" applyAlignment="1">
      <alignment horizontal="center"/>
    </xf>
    <xf numFmtId="0" fontId="50" fillId="0" borderId="38" xfId="0" applyFont="1" applyFill="1" applyBorder="1" applyAlignment="1">
      <alignment horizontal="center"/>
    </xf>
    <xf numFmtId="171" fontId="54" fillId="0" borderId="22" xfId="0" applyNumberFormat="1" applyFont="1" applyFill="1" applyBorder="1" applyAlignment="1">
      <alignment horizontal="center"/>
    </xf>
    <xf numFmtId="0" fontId="50" fillId="0" borderId="0" xfId="0" applyFont="1" applyFill="1" applyBorder="1" applyAlignment="1">
      <alignment horizontal="right"/>
    </xf>
    <xf numFmtId="0" fontId="51" fillId="0" borderId="0" xfId="0" applyFont="1" applyFill="1" applyBorder="1" applyAlignment="1">
      <alignment horizontal="right"/>
    </xf>
    <xf numFmtId="3" fontId="30" fillId="0" borderId="0" xfId="0" applyNumberFormat="1" applyFont="1" applyFill="1" applyBorder="1" applyAlignment="1">
      <alignment horizontal="left"/>
    </xf>
    <xf numFmtId="3" fontId="50" fillId="0" borderId="0" xfId="0" applyNumberFormat="1" applyFont="1" applyFill="1" applyBorder="1" applyAlignment="1">
      <alignment horizontal="right"/>
    </xf>
    <xf numFmtId="3" fontId="29" fillId="0" borderId="0" xfId="0" applyNumberFormat="1" applyFont="1" applyFill="1" applyBorder="1" applyAlignment="1">
      <alignment horizontal="left"/>
    </xf>
    <xf numFmtId="181" fontId="15" fillId="0" borderId="0" xfId="0" applyNumberFormat="1" applyFont="1" applyFill="1" applyBorder="1"/>
    <xf numFmtId="0" fontId="15" fillId="0" borderId="0" xfId="0" quotePrefix="1" applyFont="1" applyFill="1" applyBorder="1"/>
    <xf numFmtId="2" fontId="15" fillId="0" borderId="0" xfId="0" applyNumberFormat="1" applyFont="1" applyFill="1" applyBorder="1"/>
    <xf numFmtId="0" fontId="15" fillId="0" borderId="0" xfId="20" applyAlignment="1">
      <alignment wrapText="1"/>
    </xf>
    <xf numFmtId="0" fontId="15" fillId="9" borderId="4" xfId="20" applyFill="1" applyBorder="1"/>
    <xf numFmtId="0" fontId="69" fillId="5" borderId="10" xfId="20" applyFont="1" applyFill="1" applyBorder="1" applyAlignment="1">
      <alignment horizontal="center" wrapText="1"/>
    </xf>
    <xf numFmtId="0" fontId="69" fillId="5" borderId="8" xfId="20" applyFont="1" applyFill="1" applyBorder="1" applyAlignment="1">
      <alignment horizontal="center" wrapText="1"/>
    </xf>
    <xf numFmtId="0" fontId="69" fillId="0" borderId="30" xfId="20" applyFont="1" applyBorder="1"/>
    <xf numFmtId="0" fontId="69" fillId="8" borderId="8" xfId="20" applyFont="1" applyFill="1" applyBorder="1"/>
    <xf numFmtId="0" fontId="35" fillId="0" borderId="30" xfId="20" applyFont="1" applyBorder="1"/>
    <xf numFmtId="0" fontId="35" fillId="0" borderId="8" xfId="20" applyFont="1" applyBorder="1"/>
    <xf numFmtId="3" fontId="73" fillId="0" borderId="0" xfId="0" applyNumberFormat="1" applyFont="1" applyBorder="1" applyAlignment="1">
      <alignment horizontal="center"/>
    </xf>
    <xf numFmtId="0" fontId="73" fillId="0" borderId="0" xfId="0" applyFont="1" applyBorder="1" applyAlignment="1">
      <alignment horizontal="center"/>
    </xf>
    <xf numFmtId="169" fontId="73" fillId="0" borderId="0" xfId="0" applyNumberFormat="1" applyFont="1" applyBorder="1" applyAlignment="1">
      <alignment horizontal="center"/>
    </xf>
    <xf numFmtId="0" fontId="15" fillId="0" borderId="7" xfId="0" applyFont="1" applyBorder="1"/>
    <xf numFmtId="0" fontId="74" fillId="0" borderId="0" xfId="0" applyFont="1" applyBorder="1" applyAlignment="1">
      <alignment horizontal="center"/>
    </xf>
    <xf numFmtId="183" fontId="73" fillId="0" borderId="0" xfId="0" applyNumberFormat="1" applyFont="1" applyBorder="1" applyAlignment="1">
      <alignment horizontal="center"/>
    </xf>
    <xf numFmtId="171" fontId="15" fillId="6" borderId="4" xfId="20" applyNumberFormat="1" applyFont="1" applyFill="1" applyBorder="1" applyAlignment="1">
      <alignment wrapText="1"/>
    </xf>
    <xf numFmtId="0" fontId="15" fillId="0" borderId="4" xfId="20" applyFont="1" applyBorder="1"/>
    <xf numFmtId="2" fontId="15" fillId="0" borderId="4" xfId="20" applyNumberFormat="1" applyFont="1" applyFill="1" applyBorder="1"/>
    <xf numFmtId="169" fontId="15" fillId="0" borderId="4" xfId="20" applyNumberFormat="1" applyFont="1" applyFill="1" applyBorder="1"/>
    <xf numFmtId="172" fontId="15" fillId="0" borderId="4" xfId="20" applyNumberFormat="1" applyFont="1" applyFill="1" applyBorder="1"/>
    <xf numFmtId="179" fontId="15" fillId="0" borderId="4" xfId="20" applyNumberFormat="1" applyFont="1" applyFill="1" applyBorder="1"/>
    <xf numFmtId="168" fontId="15" fillId="0" borderId="4" xfId="20" applyNumberFormat="1" applyFont="1" applyFill="1" applyBorder="1"/>
    <xf numFmtId="0" fontId="15" fillId="0" borderId="4" xfId="20" applyFont="1" applyFill="1" applyBorder="1"/>
    <xf numFmtId="171" fontId="15" fillId="0" borderId="4" xfId="20" applyNumberFormat="1" applyFont="1" applyFill="1" applyBorder="1"/>
    <xf numFmtId="171" fontId="15" fillId="0" borderId="0" xfId="20" applyNumberFormat="1" applyFont="1"/>
    <xf numFmtId="0" fontId="35" fillId="0" borderId="0" xfId="0" applyFont="1"/>
    <xf numFmtId="0" fontId="18" fillId="10" borderId="18" xfId="20" applyFont="1" applyFill="1" applyBorder="1"/>
    <xf numFmtId="0" fontId="15" fillId="10" borderId="9" xfId="20" applyFont="1" applyFill="1" applyBorder="1"/>
    <xf numFmtId="0" fontId="15" fillId="10" borderId="10" xfId="0" applyFont="1" applyFill="1" applyBorder="1"/>
    <xf numFmtId="0" fontId="15" fillId="10" borderId="19" xfId="20" applyFont="1" applyFill="1" applyBorder="1"/>
    <xf numFmtId="0" fontId="15" fillId="10" borderId="0" xfId="20" applyFont="1" applyFill="1" applyBorder="1"/>
    <xf numFmtId="0" fontId="15" fillId="10" borderId="6" xfId="0" applyFont="1" applyFill="1" applyBorder="1"/>
    <xf numFmtId="164" fontId="15" fillId="10" borderId="0" xfId="20" applyNumberFormat="1" applyFont="1" applyFill="1" applyBorder="1"/>
    <xf numFmtId="0" fontId="15" fillId="10" borderId="6" xfId="20" applyFont="1" applyFill="1" applyBorder="1"/>
    <xf numFmtId="0" fontId="15" fillId="10" borderId="19" xfId="0" applyFont="1" applyFill="1" applyBorder="1"/>
    <xf numFmtId="0" fontId="15" fillId="10" borderId="0" xfId="0" applyFont="1" applyFill="1" applyBorder="1"/>
    <xf numFmtId="0" fontId="15" fillId="10" borderId="20" xfId="20" applyFont="1" applyFill="1" applyBorder="1"/>
    <xf numFmtId="0" fontId="15" fillId="10" borderId="7" xfId="20" applyFont="1" applyFill="1" applyBorder="1"/>
    <xf numFmtId="0" fontId="15" fillId="10" borderId="8" xfId="20" applyFont="1" applyFill="1" applyBorder="1"/>
    <xf numFmtId="0" fontId="20" fillId="0" borderId="0" xfId="14" applyFont="1" applyAlignment="1" applyProtection="1"/>
    <xf numFmtId="0" fontId="15" fillId="11" borderId="4" xfId="20" applyFont="1" applyFill="1" applyBorder="1"/>
    <xf numFmtId="169" fontId="15" fillId="0" borderId="4" xfId="20" applyNumberFormat="1" applyFont="1" applyBorder="1"/>
    <xf numFmtId="0" fontId="15" fillId="0" borderId="2" xfId="20" applyFont="1" applyBorder="1"/>
    <xf numFmtId="0" fontId="15" fillId="0" borderId="2" xfId="0" applyFont="1" applyBorder="1"/>
    <xf numFmtId="0" fontId="15" fillId="0" borderId="34" xfId="0" applyFont="1" applyBorder="1"/>
    <xf numFmtId="0" fontId="15" fillId="0" borderId="32" xfId="20" applyFont="1" applyBorder="1"/>
    <xf numFmtId="0" fontId="15" fillId="0" borderId="0" xfId="20" applyFont="1" applyBorder="1"/>
    <xf numFmtId="0" fontId="15" fillId="0" borderId="35" xfId="0" applyFont="1" applyBorder="1"/>
    <xf numFmtId="0" fontId="15" fillId="0" borderId="0" xfId="20" applyFont="1" applyFill="1" applyBorder="1"/>
    <xf numFmtId="0" fontId="15" fillId="0" borderId="33" xfId="0" applyFont="1" applyBorder="1"/>
    <xf numFmtId="0" fontId="15" fillId="0" borderId="36" xfId="0" applyFont="1" applyBorder="1"/>
    <xf numFmtId="0" fontId="15" fillId="0" borderId="37" xfId="0" applyFont="1" applyBorder="1"/>
    <xf numFmtId="10" fontId="75" fillId="0" borderId="4" xfId="20" applyNumberFormat="1" applyFont="1" applyBorder="1"/>
    <xf numFmtId="183" fontId="15" fillId="0" borderId="42" xfId="18" applyNumberFormat="1" applyFont="1" applyFill="1" applyBorder="1"/>
    <xf numFmtId="180" fontId="15" fillId="4" borderId="0" xfId="4" applyNumberFormat="1" applyFont="1" applyFill="1" applyBorder="1"/>
    <xf numFmtId="171" fontId="15" fillId="4" borderId="0" xfId="4" applyNumberFormat="1" applyFont="1" applyFill="1" applyBorder="1"/>
    <xf numFmtId="181" fontId="15" fillId="4" borderId="0" xfId="4" applyNumberFormat="1" applyFont="1" applyFill="1" applyBorder="1"/>
    <xf numFmtId="180" fontId="18" fillId="4" borderId="41" xfId="4" applyNumberFormat="1" applyFont="1" applyFill="1" applyBorder="1"/>
    <xf numFmtId="1" fontId="15" fillId="0" borderId="42" xfId="18" applyNumberFormat="1" applyFont="1" applyBorder="1"/>
    <xf numFmtId="180" fontId="15" fillId="4" borderId="32" xfId="4" applyNumberFormat="1" applyFont="1" applyFill="1" applyBorder="1"/>
    <xf numFmtId="171" fontId="15" fillId="4" borderId="35" xfId="4" applyNumberFormat="1" applyFont="1" applyFill="1" applyBorder="1"/>
    <xf numFmtId="0" fontId="34" fillId="0" borderId="0" xfId="0" applyFont="1" applyBorder="1"/>
    <xf numFmtId="0" fontId="15" fillId="0" borderId="4" xfId="0" applyFont="1" applyFill="1" applyBorder="1" applyAlignment="1">
      <alignment wrapText="1"/>
    </xf>
    <xf numFmtId="0" fontId="68" fillId="0" borderId="7" xfId="0" applyFont="1" applyBorder="1"/>
    <xf numFmtId="0" fontId="15" fillId="0" borderId="0" xfId="0" applyFont="1" applyFill="1" applyBorder="1" applyAlignment="1">
      <alignment horizontal="center"/>
    </xf>
    <xf numFmtId="0" fontId="15" fillId="0" borderId="0" xfId="21" applyFont="1" applyAlignment="1"/>
    <xf numFmtId="0" fontId="18" fillId="0" borderId="14" xfId="21" applyFont="1" applyFill="1" applyBorder="1" applyAlignment="1">
      <alignment horizontal="center" vertical="center" wrapText="1"/>
    </xf>
    <xf numFmtId="0" fontId="15" fillId="0" borderId="16" xfId="21" applyFont="1" applyFill="1" applyBorder="1" applyAlignment="1"/>
    <xf numFmtId="0" fontId="15" fillId="3" borderId="16" xfId="21" applyFont="1" applyFill="1" applyBorder="1" applyAlignment="1"/>
    <xf numFmtId="0" fontId="15" fillId="0" borderId="17" xfId="21" applyFont="1" applyFill="1" applyBorder="1" applyAlignment="1"/>
    <xf numFmtId="0" fontId="15" fillId="0" borderId="9" xfId="21" applyFont="1" applyBorder="1" applyAlignment="1"/>
    <xf numFmtId="0" fontId="15" fillId="0" borderId="10" xfId="21" applyFont="1" applyBorder="1" applyAlignment="1"/>
    <xf numFmtId="0" fontId="15" fillId="0" borderId="19" xfId="21" applyFont="1" applyBorder="1" applyAlignment="1"/>
    <xf numFmtId="0" fontId="15" fillId="0" borderId="0" xfId="21" applyFont="1" applyBorder="1" applyAlignment="1"/>
    <xf numFmtId="0" fontId="15" fillId="0" borderId="6" xfId="21" applyFont="1" applyBorder="1" applyAlignment="1"/>
    <xf numFmtId="0" fontId="15" fillId="0" borderId="7" xfId="21" applyFont="1" applyBorder="1" applyAlignment="1"/>
    <xf numFmtId="0" fontId="15" fillId="0" borderId="8" xfId="21" applyFont="1" applyBorder="1" applyAlignment="1"/>
    <xf numFmtId="0" fontId="15" fillId="2" borderId="4" xfId="21" applyFont="1" applyFill="1" applyBorder="1" applyAlignment="1"/>
    <xf numFmtId="0" fontId="15" fillId="0" borderId="0" xfId="0" applyFont="1" applyFill="1"/>
    <xf numFmtId="0" fontId="18" fillId="5" borderId="30" xfId="0" applyFont="1" applyFill="1" applyBorder="1"/>
    <xf numFmtId="0" fontId="15" fillId="0" borderId="8" xfId="0" applyFont="1" applyBorder="1"/>
    <xf numFmtId="1" fontId="15" fillId="0" borderId="0" xfId="18" applyNumberFormat="1"/>
    <xf numFmtId="183" fontId="15" fillId="0" borderId="19" xfId="18" applyNumberFormat="1" applyFont="1" applyFill="1" applyBorder="1"/>
    <xf numFmtId="0" fontId="35" fillId="9" borderId="30" xfId="20" applyFont="1" applyFill="1" applyBorder="1"/>
    <xf numFmtId="0" fontId="35" fillId="9" borderId="8" xfId="20" applyFont="1" applyFill="1" applyBorder="1"/>
    <xf numFmtId="0" fontId="32" fillId="0" borderId="32" xfId="14" applyBorder="1" applyAlignment="1" applyProtection="1"/>
    <xf numFmtId="0" fontId="32" fillId="10" borderId="19" xfId="14" applyFill="1" applyBorder="1" applyAlignment="1" applyProtection="1"/>
    <xf numFmtId="166" fontId="15" fillId="0" borderId="0" xfId="20" applyNumberFormat="1" applyFont="1"/>
    <xf numFmtId="166" fontId="15" fillId="0" borderId="0" xfId="38" applyNumberFormat="1" applyFont="1" applyFill="1" applyBorder="1" applyAlignment="1">
      <alignment horizontal="center" vertical="center"/>
    </xf>
    <xf numFmtId="186" fontId="0" fillId="0" borderId="0" xfId="0" applyNumberFormat="1"/>
    <xf numFmtId="166" fontId="15" fillId="10" borderId="0" xfId="20" applyNumberFormat="1" applyFont="1" applyFill="1" applyBorder="1"/>
    <xf numFmtId="0" fontId="18" fillId="6" borderId="4" xfId="20" applyFont="1" applyFill="1" applyBorder="1"/>
    <xf numFmtId="0" fontId="15" fillId="0" borderId="31" xfId="20" applyBorder="1"/>
    <xf numFmtId="0" fontId="15" fillId="0" borderId="32" xfId="20" applyBorder="1"/>
    <xf numFmtId="179" fontId="15" fillId="0" borderId="0" xfId="20" applyNumberFormat="1" applyBorder="1"/>
    <xf numFmtId="179" fontId="15" fillId="0" borderId="35" xfId="20" applyNumberFormat="1" applyBorder="1"/>
    <xf numFmtId="0" fontId="15" fillId="0" borderId="33" xfId="20" applyBorder="1"/>
    <xf numFmtId="179" fontId="15" fillId="0" borderId="36" xfId="20" applyNumberFormat="1" applyBorder="1"/>
    <xf numFmtId="179" fontId="15" fillId="0" borderId="37" xfId="20" applyNumberFormat="1" applyBorder="1"/>
    <xf numFmtId="0" fontId="0" fillId="0" borderId="0" xfId="0" applyAlignment="1">
      <alignment vertical="top" wrapText="1"/>
    </xf>
    <xf numFmtId="0" fontId="0" fillId="0" borderId="0" xfId="0" quotePrefix="1" applyAlignment="1">
      <alignment vertical="top" wrapText="1"/>
    </xf>
    <xf numFmtId="0" fontId="19" fillId="0" borderId="0" xfId="18" applyFont="1" applyBorder="1"/>
    <xf numFmtId="0" fontId="32" fillId="0" borderId="0" xfId="14" applyBorder="1" applyAlignment="1" applyProtection="1"/>
    <xf numFmtId="0" fontId="18" fillId="0" borderId="0" xfId="18" applyFont="1" applyBorder="1"/>
    <xf numFmtId="0" fontId="32" fillId="0" borderId="0" xfId="14" applyBorder="1" applyAlignment="1" applyProtection="1">
      <alignment horizontal="left"/>
    </xf>
    <xf numFmtId="171" fontId="15" fillId="0" borderId="0" xfId="18" applyNumberFormat="1" applyBorder="1"/>
    <xf numFmtId="3" fontId="60" fillId="0" borderId="0" xfId="23" applyNumberFormat="1"/>
    <xf numFmtId="181" fontId="10" fillId="0" borderId="55" xfId="32" applyNumberFormat="1" applyFont="1" applyFill="1" applyBorder="1"/>
    <xf numFmtId="181" fontId="10" fillId="0" borderId="51" xfId="32" applyNumberFormat="1" applyFont="1" applyFill="1" applyBorder="1"/>
    <xf numFmtId="0" fontId="64" fillId="0" borderId="0" xfId="23" applyFont="1" applyFill="1" applyBorder="1" applyAlignment="1">
      <alignment horizontal="center" vertical="center" wrapText="1"/>
    </xf>
    <xf numFmtId="0" fontId="65" fillId="0" borderId="0" xfId="23" applyFont="1" applyFill="1" applyBorder="1" applyAlignment="1">
      <alignment horizontal="center" vertical="center" wrapText="1"/>
    </xf>
    <xf numFmtId="0" fontId="63" fillId="0" borderId="0" xfId="23" applyFont="1" applyFill="1" applyBorder="1" applyAlignment="1">
      <alignment horizontal="center" vertical="center" wrapText="1"/>
    </xf>
    <xf numFmtId="0" fontId="60" fillId="0" borderId="0" xfId="23" applyFill="1" applyBorder="1"/>
    <xf numFmtId="0" fontId="8" fillId="0" borderId="0" xfId="54"/>
    <xf numFmtId="1" fontId="16" fillId="0" borderId="0" xfId="21" applyNumberFormat="1" applyFont="1" applyFill="1" applyBorder="1" applyAlignment="1">
      <alignment horizontal="left" vertical="top"/>
    </xf>
    <xf numFmtId="0" fontId="15" fillId="0" borderId="30" xfId="0" applyFont="1" applyFill="1" applyBorder="1"/>
    <xf numFmtId="199" fontId="0" fillId="0" borderId="0" xfId="0" applyNumberFormat="1"/>
    <xf numFmtId="0" fontId="18" fillId="5" borderId="6" xfId="0" applyFont="1" applyFill="1" applyBorder="1" applyAlignment="1">
      <alignment horizontal="center" wrapText="1"/>
    </xf>
    <xf numFmtId="2" fontId="15" fillId="0" borderId="0" xfId="20" applyNumberFormat="1" applyFont="1"/>
    <xf numFmtId="169" fontId="15" fillId="0" borderId="0" xfId="20" applyNumberFormat="1"/>
    <xf numFmtId="0" fontId="15" fillId="0" borderId="4" xfId="18" applyBorder="1"/>
    <xf numFmtId="166" fontId="15" fillId="0" borderId="0" xfId="38" applyNumberFormat="1" applyFont="1" applyFill="1" applyBorder="1" applyAlignment="1">
      <alignment horizontal="center"/>
    </xf>
    <xf numFmtId="185" fontId="15" fillId="0" borderId="0" xfId="20" applyNumberFormat="1" applyFont="1" applyFill="1" applyBorder="1"/>
    <xf numFmtId="187" fontId="15" fillId="0" borderId="0" xfId="20" applyNumberFormat="1" applyFont="1" applyFill="1" applyBorder="1"/>
    <xf numFmtId="203" fontId="15" fillId="0" borderId="0" xfId="20" applyNumberFormat="1" applyFont="1" applyFill="1" applyBorder="1"/>
    <xf numFmtId="164" fontId="15" fillId="0" borderId="0" xfId="20" applyNumberFormat="1" applyFont="1" applyFill="1" applyBorder="1"/>
    <xf numFmtId="166" fontId="15" fillId="0" borderId="0" xfId="20" applyNumberFormat="1" applyFont="1" applyFill="1" applyBorder="1"/>
    <xf numFmtId="0" fontId="15" fillId="0" borderId="0" xfId="20" applyFont="1" applyFill="1" applyBorder="1" applyAlignment="1">
      <alignment horizontal="left"/>
    </xf>
    <xf numFmtId="0" fontId="34" fillId="0" borderId="0" xfId="0" applyFont="1" applyFill="1" applyBorder="1" applyAlignment="1">
      <alignment horizontal="left"/>
    </xf>
    <xf numFmtId="0" fontId="15" fillId="0" borderId="0" xfId="18" applyFont="1" applyFill="1" applyBorder="1" applyAlignment="1">
      <alignment vertical="center"/>
    </xf>
    <xf numFmtId="0" fontId="15" fillId="0" borderId="0" xfId="18" applyFont="1" applyFill="1" applyBorder="1" applyAlignment="1">
      <alignment horizontal="center" vertical="center" wrapText="1"/>
    </xf>
    <xf numFmtId="0" fontId="15" fillId="0" borderId="0" xfId="18" applyFill="1" applyBorder="1" applyAlignment="1">
      <alignment horizontal="center"/>
    </xf>
    <xf numFmtId="0" fontId="15" fillId="0" borderId="0" xfId="18" applyNumberFormat="1" applyFont="1" applyFill="1" applyBorder="1" applyAlignment="1">
      <alignment horizontal="center"/>
    </xf>
    <xf numFmtId="0" fontId="0" fillId="0" borderId="0" xfId="0" applyFill="1" applyBorder="1" applyAlignment="1">
      <alignment horizontal="center"/>
    </xf>
    <xf numFmtId="2" fontId="0" fillId="0" borderId="0" xfId="0" applyNumberFormat="1" applyFill="1" applyBorder="1" applyAlignment="1">
      <alignment horizontal="center"/>
    </xf>
    <xf numFmtId="169" fontId="0" fillId="0" borderId="0" xfId="0" applyNumberFormat="1" applyFill="1" applyBorder="1" applyAlignment="1">
      <alignment horizontal="center"/>
    </xf>
    <xf numFmtId="2" fontId="15" fillId="0" borderId="0" xfId="20" applyNumberFormat="1" applyFont="1" applyFill="1" applyBorder="1"/>
    <xf numFmtId="169" fontId="15" fillId="0" borderId="0" xfId="20" applyNumberFormat="1" applyFont="1" applyFill="1" applyBorder="1"/>
    <xf numFmtId="172" fontId="15" fillId="0" borderId="0" xfId="20" applyNumberFormat="1" applyFont="1" applyFill="1" applyBorder="1"/>
    <xf numFmtId="171" fontId="15" fillId="0" borderId="0" xfId="20" applyNumberFormat="1" applyFont="1" applyFill="1" applyBorder="1"/>
    <xf numFmtId="168" fontId="15" fillId="0" borderId="0" xfId="20" applyNumberFormat="1" applyFill="1" applyBorder="1"/>
    <xf numFmtId="172" fontId="15" fillId="0" borderId="0" xfId="20" applyNumberFormat="1" applyFill="1" applyBorder="1"/>
    <xf numFmtId="0" fontId="40" fillId="0" borderId="0" xfId="0" applyFont="1" applyFill="1" applyBorder="1"/>
    <xf numFmtId="0" fontId="40" fillId="0" borderId="0" xfId="20" applyFont="1" applyFill="1" applyBorder="1"/>
    <xf numFmtId="0" fontId="108" fillId="0" borderId="0" xfId="0" applyFont="1"/>
    <xf numFmtId="170" fontId="15" fillId="0" borderId="0" xfId="20" applyNumberFormat="1" applyFont="1" applyFill="1" applyBorder="1"/>
    <xf numFmtId="204" fontId="15" fillId="10" borderId="0" xfId="20" applyNumberFormat="1" applyFont="1" applyFill="1" applyBorder="1"/>
    <xf numFmtId="0" fontId="15" fillId="0" borderId="0" xfId="21" applyFont="1" applyFill="1" applyAlignment="1">
      <alignment horizontal="left"/>
    </xf>
    <xf numFmtId="183" fontId="15" fillId="0" borderId="0" xfId="18" applyNumberFormat="1" applyFont="1" applyFill="1" applyBorder="1"/>
    <xf numFmtId="173" fontId="15" fillId="0" borderId="0" xfId="20" applyNumberFormat="1" applyFont="1" applyFill="1" applyBorder="1" applyAlignment="1">
      <alignment horizontal="center"/>
    </xf>
    <xf numFmtId="202" fontId="15" fillId="0" borderId="0" xfId="20" applyNumberFormat="1" applyFont="1" applyFill="1" applyBorder="1" applyAlignment="1">
      <alignment horizontal="center"/>
    </xf>
    <xf numFmtId="168" fontId="15" fillId="0" borderId="0" xfId="20" applyNumberFormat="1" applyFont="1" applyFill="1" applyBorder="1" applyAlignment="1">
      <alignment horizontal="center"/>
    </xf>
    <xf numFmtId="170" fontId="15" fillId="0" borderId="0" xfId="20" applyNumberFormat="1" applyFont="1" applyFill="1" applyBorder="1" applyAlignment="1">
      <alignment horizontal="center"/>
    </xf>
    <xf numFmtId="180" fontId="15" fillId="0" borderId="0" xfId="18" applyNumberFormat="1" applyFont="1"/>
    <xf numFmtId="181" fontId="15" fillId="0" borderId="0" xfId="20" applyNumberFormat="1" applyFont="1" applyBorder="1" applyAlignment="1">
      <alignment horizontal="left"/>
    </xf>
    <xf numFmtId="0" fontId="15" fillId="4" borderId="42" xfId="18" applyFont="1" applyFill="1" applyBorder="1" applyAlignment="1">
      <alignment horizontal="left" indent="1"/>
    </xf>
    <xf numFmtId="0" fontId="15" fillId="0" borderId="0" xfId="18" applyBorder="1" applyAlignment="1"/>
    <xf numFmtId="166" fontId="4" fillId="0" borderId="0" xfId="323" applyFont="1" applyFill="1" applyBorder="1"/>
    <xf numFmtId="0" fontId="32" fillId="0" borderId="9" xfId="14" applyBorder="1" applyAlignment="1" applyProtection="1"/>
    <xf numFmtId="168" fontId="0" fillId="0" borderId="0" xfId="0" applyNumberFormat="1"/>
    <xf numFmtId="172" fontId="0" fillId="0" borderId="0" xfId="0" applyNumberFormat="1"/>
    <xf numFmtId="169" fontId="0" fillId="0" borderId="0" xfId="0" applyNumberFormat="1"/>
    <xf numFmtId="2" fontId="0" fillId="0" borderId="0" xfId="0" applyNumberFormat="1"/>
    <xf numFmtId="206" fontId="15" fillId="10" borderId="0" xfId="20" applyNumberFormat="1" applyFont="1" applyFill="1" applyBorder="1"/>
    <xf numFmtId="167" fontId="15" fillId="10" borderId="0" xfId="20" applyNumberFormat="1" applyFont="1" applyFill="1" applyBorder="1"/>
    <xf numFmtId="172" fontId="15" fillId="10" borderId="0" xfId="20" applyNumberFormat="1" applyFont="1" applyFill="1" applyBorder="1"/>
    <xf numFmtId="0" fontId="15" fillId="2" borderId="4" xfId="18" applyFont="1" applyFill="1" applyBorder="1" applyAlignment="1">
      <alignment horizontal="center" vertical="center"/>
    </xf>
    <xf numFmtId="166" fontId="72" fillId="0" borderId="22" xfId="373" applyNumberFormat="1" applyFont="1" applyFill="1" applyBorder="1"/>
    <xf numFmtId="166" fontId="72" fillId="9" borderId="4" xfId="323" applyFont="1" applyFill="1" applyBorder="1"/>
    <xf numFmtId="0" fontId="58" fillId="0" borderId="0" xfId="0" applyFont="1" applyBorder="1" applyAlignment="1">
      <alignment wrapText="1"/>
    </xf>
    <xf numFmtId="0" fontId="18" fillId="2" borderId="4" xfId="18" applyFont="1" applyFill="1" applyBorder="1" applyAlignment="1">
      <alignment horizontal="center" vertical="center"/>
    </xf>
    <xf numFmtId="0" fontId="18" fillId="2" borderId="4" xfId="18" applyFont="1" applyFill="1" applyBorder="1" applyAlignment="1">
      <alignment horizontal="center" vertical="center" wrapText="1"/>
    </xf>
    <xf numFmtId="0" fontId="18" fillId="5" borderId="46" xfId="0" applyFont="1" applyFill="1" applyBorder="1"/>
    <xf numFmtId="0" fontId="18" fillId="5" borderId="30" xfId="0" applyFont="1" applyFill="1" applyBorder="1"/>
    <xf numFmtId="0" fontId="18" fillId="5" borderId="46" xfId="0" applyFont="1" applyFill="1" applyBorder="1" applyAlignment="1">
      <alignment horizontal="center"/>
    </xf>
    <xf numFmtId="0" fontId="18" fillId="5" borderId="30" xfId="0" applyFont="1" applyFill="1" applyBorder="1" applyAlignment="1">
      <alignment horizontal="center"/>
    </xf>
    <xf numFmtId="166" fontId="15" fillId="0" borderId="0" xfId="18" applyNumberFormat="1"/>
    <xf numFmtId="166" fontId="72" fillId="0" borderId="4" xfId="323" applyFont="1" applyFill="1" applyBorder="1"/>
    <xf numFmtId="166" fontId="72" fillId="0" borderId="4" xfId="323" applyNumberFormat="1" applyFont="1" applyFill="1" applyBorder="1"/>
    <xf numFmtId="166" fontId="72" fillId="9" borderId="39" xfId="323" applyNumberFormat="1" applyFont="1" applyFill="1" applyBorder="1"/>
    <xf numFmtId="166" fontId="72" fillId="0" borderId="4" xfId="323" applyNumberFormat="1" applyFont="1" applyFill="1" applyBorder="1" applyAlignment="1">
      <alignment horizontal="center"/>
    </xf>
    <xf numFmtId="0" fontId="108" fillId="0" borderId="0" xfId="0" applyFont="1" applyFill="1"/>
    <xf numFmtId="0" fontId="18" fillId="0" borderId="0" xfId="0" applyFont="1" applyFill="1"/>
    <xf numFmtId="166" fontId="0" fillId="0" borderId="0" xfId="0" applyNumberFormat="1"/>
    <xf numFmtId="0" fontId="18" fillId="0" borderId="0" xfId="21" applyFont="1" applyFill="1" applyAlignment="1"/>
    <xf numFmtId="0" fontId="15" fillId="0" borderId="8" xfId="0" applyFont="1" applyFill="1" applyBorder="1"/>
    <xf numFmtId="0" fontId="18" fillId="0" borderId="0" xfId="0" applyFont="1" applyFill="1" applyAlignment="1">
      <alignment horizontal="left"/>
    </xf>
    <xf numFmtId="170" fontId="2" fillId="0" borderId="0" xfId="431" applyNumberFormat="1"/>
    <xf numFmtId="0" fontId="43" fillId="0" borderId="0" xfId="0" applyFont="1" applyFill="1"/>
    <xf numFmtId="0" fontId="38" fillId="0" borderId="0" xfId="0" applyFont="1" applyFill="1"/>
    <xf numFmtId="0" fontId="32" fillId="0" borderId="0" xfId="14" applyFill="1" applyAlignment="1" applyProtection="1"/>
    <xf numFmtId="0" fontId="15" fillId="0" borderId="0" xfId="20" applyFont="1" applyFill="1" applyBorder="1"/>
    <xf numFmtId="0" fontId="0" fillId="0" borderId="0" xfId="0" applyFill="1" applyBorder="1" applyAlignment="1">
      <alignment vertical="top" wrapText="1"/>
    </xf>
    <xf numFmtId="179" fontId="0" fillId="0" borderId="0" xfId="0" applyNumberFormat="1" applyFill="1" applyBorder="1"/>
    <xf numFmtId="179" fontId="0" fillId="0" borderId="0" xfId="25" applyNumberFormat="1" applyFont="1" applyFill="1" applyBorder="1" applyAlignment="1">
      <alignment vertical="top" wrapText="1"/>
    </xf>
    <xf numFmtId="0" fontId="0" fillId="0" borderId="19" xfId="0" applyFill="1" applyBorder="1" applyAlignment="1">
      <alignment vertical="top" wrapText="1"/>
    </xf>
    <xf numFmtId="0" fontId="63" fillId="0" borderId="0" xfId="23" applyFont="1" applyFill="1" applyAlignment="1">
      <alignment horizontal="left" vertical="center"/>
    </xf>
    <xf numFmtId="2" fontId="16" fillId="0" borderId="14" xfId="21" applyNumberFormat="1" applyFill="1" applyBorder="1" applyAlignment="1"/>
    <xf numFmtId="0" fontId="15" fillId="0" borderId="27" xfId="21" applyFont="1" applyFill="1" applyBorder="1" applyAlignment="1">
      <alignment horizontal="right" vertical="top" wrapText="1"/>
    </xf>
    <xf numFmtId="169" fontId="16" fillId="0" borderId="4" xfId="21" applyNumberFormat="1" applyFill="1" applyBorder="1" applyAlignment="1"/>
    <xf numFmtId="0" fontId="16" fillId="0" borderId="27" xfId="21" applyFont="1" applyFill="1" applyBorder="1" applyAlignment="1">
      <alignment horizontal="right" vertical="top" wrapText="1"/>
    </xf>
    <xf numFmtId="2" fontId="16" fillId="0" borderId="1" xfId="21" applyNumberFormat="1" applyFill="1" applyBorder="1" applyAlignment="1"/>
    <xf numFmtId="0" fontId="16" fillId="0" borderId="15" xfId="21" applyFont="1" applyFill="1" applyBorder="1" applyAlignment="1">
      <alignment horizontal="right" vertical="top" wrapText="1"/>
    </xf>
    <xf numFmtId="0" fontId="16" fillId="0" borderId="26" xfId="21" applyFont="1" applyFill="1" applyBorder="1" applyAlignment="1">
      <alignment horizontal="right" vertical="top" wrapText="1"/>
    </xf>
    <xf numFmtId="2" fontId="16" fillId="0" borderId="4" xfId="21" applyNumberFormat="1" applyFill="1" applyBorder="1" applyAlignment="1"/>
    <xf numFmtId="169" fontId="72" fillId="0" borderId="28" xfId="412" applyNumberFormat="1" applyFont="1" applyFill="1" applyBorder="1" applyAlignment="1"/>
    <xf numFmtId="168" fontId="72" fillId="0" borderId="28" xfId="412" applyNumberFormat="1" applyFont="1" applyFill="1" applyBorder="1"/>
    <xf numFmtId="172" fontId="72" fillId="0" borderId="28" xfId="412" applyNumberFormat="1" applyFont="1" applyFill="1" applyBorder="1"/>
    <xf numFmtId="169" fontId="72" fillId="0" borderId="28" xfId="412" applyNumberFormat="1" applyFont="1" applyFill="1" applyBorder="1"/>
    <xf numFmtId="171" fontId="72" fillId="0" borderId="28" xfId="412" applyNumberFormat="1" applyFont="1" applyFill="1" applyBorder="1"/>
    <xf numFmtId="169" fontId="15" fillId="0" borderId="8" xfId="0" applyNumberFormat="1" applyFont="1" applyFill="1" applyBorder="1"/>
    <xf numFmtId="172" fontId="15" fillId="0" borderId="8" xfId="0" applyNumberFormat="1" applyFont="1" applyFill="1" applyBorder="1"/>
    <xf numFmtId="169" fontId="15" fillId="0" borderId="4" xfId="21" applyNumberFormat="1" applyFont="1" applyFill="1" applyBorder="1" applyAlignment="1"/>
    <xf numFmtId="2" fontId="15" fillId="0" borderId="4" xfId="21" applyNumberFormat="1" applyFont="1" applyFill="1" applyBorder="1" applyAlignment="1"/>
    <xf numFmtId="172" fontId="15" fillId="0" borderId="4" xfId="21" applyNumberFormat="1" applyFont="1" applyFill="1" applyBorder="1" applyAlignment="1"/>
    <xf numFmtId="169" fontId="15" fillId="0" borderId="25" xfId="21" applyNumberFormat="1" applyFont="1" applyFill="1" applyBorder="1" applyAlignment="1"/>
    <xf numFmtId="2" fontId="15" fillId="0" borderId="1" xfId="21" applyNumberFormat="1" applyFont="1" applyFill="1" applyBorder="1" applyAlignment="1"/>
    <xf numFmtId="169" fontId="15" fillId="0" borderId="1" xfId="21" applyNumberFormat="1" applyFont="1" applyFill="1" applyBorder="1" applyAlignment="1"/>
    <xf numFmtId="169" fontId="15" fillId="0" borderId="26" xfId="21" applyNumberFormat="1" applyFont="1" applyFill="1" applyBorder="1" applyAlignment="1"/>
    <xf numFmtId="0" fontId="18" fillId="0" borderId="18" xfId="21" applyFont="1" applyFill="1" applyBorder="1" applyAlignment="1"/>
    <xf numFmtId="0" fontId="15" fillId="0" borderId="9" xfId="21" applyFont="1" applyFill="1" applyBorder="1" applyAlignment="1"/>
    <xf numFmtId="0" fontId="15" fillId="0" borderId="19" xfId="21" applyFont="1" applyFill="1" applyBorder="1" applyAlignment="1"/>
    <xf numFmtId="0" fontId="15" fillId="0" borderId="0" xfId="21" applyFont="1" applyFill="1" applyBorder="1" applyAlignment="1"/>
    <xf numFmtId="0" fontId="15" fillId="0" borderId="19" xfId="21" applyFont="1" applyFill="1" applyBorder="1" applyAlignment="1">
      <alignment wrapText="1"/>
    </xf>
    <xf numFmtId="0" fontId="15" fillId="0" borderId="20" xfId="21" applyFont="1" applyFill="1" applyBorder="1" applyAlignment="1"/>
    <xf numFmtId="169" fontId="15" fillId="0" borderId="7" xfId="21" applyNumberFormat="1" applyFont="1" applyFill="1" applyBorder="1" applyAlignment="1"/>
    <xf numFmtId="0" fontId="15" fillId="0" borderId="7" xfId="21" applyFont="1" applyFill="1" applyBorder="1" applyAlignment="1"/>
    <xf numFmtId="2" fontId="53" fillId="0" borderId="4" xfId="0" applyNumberFormat="1" applyFont="1" applyFill="1" applyBorder="1" applyAlignment="1">
      <alignment horizontal="right"/>
    </xf>
    <xf numFmtId="2" fontId="53" fillId="0" borderId="4" xfId="18" applyNumberFormat="1" applyFont="1" applyFill="1" applyBorder="1" applyAlignment="1">
      <alignment horizontal="right"/>
    </xf>
    <xf numFmtId="2" fontId="53" fillId="0" borderId="22" xfId="18" applyNumberFormat="1" applyFont="1" applyFill="1" applyBorder="1" applyAlignment="1">
      <alignment horizontal="right"/>
    </xf>
    <xf numFmtId="2" fontId="53" fillId="0" borderId="1" xfId="18" applyNumberFormat="1" applyFont="1" applyFill="1" applyBorder="1" applyAlignment="1">
      <alignment horizontal="right"/>
    </xf>
    <xf numFmtId="3" fontId="15" fillId="0" borderId="0" xfId="0" applyNumberFormat="1" applyFont="1" applyFill="1" applyBorder="1" applyAlignment="1">
      <alignment horizontal="center"/>
    </xf>
    <xf numFmtId="172" fontId="15" fillId="0" borderId="0" xfId="0" applyNumberFormat="1" applyFont="1" applyFill="1" applyBorder="1" applyAlignment="1">
      <alignment horizontal="center"/>
    </xf>
    <xf numFmtId="172" fontId="15" fillId="0" borderId="4" xfId="0" applyNumberFormat="1" applyFont="1" applyFill="1" applyBorder="1" applyAlignment="1"/>
    <xf numFmtId="1" fontId="15" fillId="0" borderId="9" xfId="0" applyNumberFormat="1" applyFont="1" applyFill="1" applyBorder="1" applyAlignment="1">
      <alignment horizontal="center"/>
    </xf>
    <xf numFmtId="182" fontId="15" fillId="0" borderId="0" xfId="0" applyNumberFormat="1" applyFont="1" applyFill="1" applyBorder="1" applyAlignment="1">
      <alignment horizontal="center"/>
    </xf>
    <xf numFmtId="2" fontId="15" fillId="0" borderId="0" xfId="0" applyNumberFormat="1" applyFont="1" applyFill="1" applyBorder="1" applyAlignment="1">
      <alignment horizontal="center"/>
    </xf>
    <xf numFmtId="0" fontId="0" fillId="0" borderId="7" xfId="0" applyFill="1" applyBorder="1" applyAlignment="1">
      <alignment horizontal="center"/>
    </xf>
    <xf numFmtId="0" fontId="0" fillId="0" borderId="4" xfId="0" applyFill="1" applyBorder="1"/>
    <xf numFmtId="2" fontId="15" fillId="0" borderId="4" xfId="0" applyNumberFormat="1" applyFont="1" applyFill="1" applyBorder="1" applyAlignment="1"/>
    <xf numFmtId="169" fontId="15" fillId="0" borderId="39" xfId="18" applyNumberFormat="1" applyFont="1" applyFill="1" applyBorder="1" applyAlignment="1"/>
    <xf numFmtId="0" fontId="15" fillId="0" borderId="30" xfId="18" applyFont="1" applyFill="1" applyBorder="1" applyAlignment="1">
      <alignment horizontal="left" indent="1"/>
    </xf>
    <xf numFmtId="0" fontId="15" fillId="0" borderId="30" xfId="18" applyFont="1" applyFill="1" applyBorder="1"/>
    <xf numFmtId="181" fontId="72" fillId="0" borderId="7" xfId="323" applyNumberFormat="1" applyFont="1" applyFill="1" applyBorder="1"/>
    <xf numFmtId="171" fontId="72" fillId="0" borderId="7" xfId="323" applyNumberFormat="1" applyFont="1" applyFill="1" applyBorder="1"/>
    <xf numFmtId="171" fontId="72" fillId="0" borderId="71" xfId="323" applyNumberFormat="1" applyFont="1" applyFill="1" applyBorder="1"/>
    <xf numFmtId="180" fontId="18" fillId="0" borderId="72" xfId="18" applyNumberFormat="1" applyFont="1" applyFill="1" applyBorder="1" applyAlignment="1">
      <alignment horizontal="right"/>
    </xf>
    <xf numFmtId="181" fontId="72" fillId="0" borderId="73" xfId="323" applyNumberFormat="1" applyFont="1" applyFill="1" applyBorder="1"/>
    <xf numFmtId="180" fontId="18" fillId="0" borderId="72" xfId="18" applyNumberFormat="1" applyFont="1" applyFill="1" applyBorder="1"/>
    <xf numFmtId="3" fontId="15" fillId="0" borderId="30" xfId="84" applyNumberFormat="1" applyFont="1" applyFill="1" applyBorder="1" applyAlignment="1"/>
    <xf numFmtId="168" fontId="15" fillId="0" borderId="4" xfId="21" applyNumberFormat="1" applyFont="1" applyFill="1" applyBorder="1" applyAlignment="1"/>
    <xf numFmtId="171" fontId="53" fillId="0" borderId="22" xfId="18" applyNumberFormat="1" applyFont="1" applyFill="1" applyBorder="1" applyAlignment="1">
      <alignment horizontal="right"/>
    </xf>
    <xf numFmtId="2" fontId="15" fillId="0" borderId="4" xfId="20" applyNumberFormat="1" applyFill="1" applyBorder="1"/>
    <xf numFmtId="172" fontId="15" fillId="0" borderId="4" xfId="20" applyNumberFormat="1" applyFill="1" applyBorder="1"/>
    <xf numFmtId="179" fontId="15" fillId="0" borderId="4" xfId="20" applyNumberFormat="1" applyFill="1" applyBorder="1"/>
    <xf numFmtId="168" fontId="15" fillId="0" borderId="4" xfId="20" applyNumberFormat="1" applyFill="1" applyBorder="1"/>
    <xf numFmtId="0" fontId="15" fillId="0" borderId="4" xfId="20" applyFill="1" applyBorder="1"/>
    <xf numFmtId="0" fontId="15" fillId="0" borderId="32" xfId="20" applyFont="1" applyFill="1" applyBorder="1"/>
    <xf numFmtId="2" fontId="15" fillId="0" borderId="0" xfId="20" applyNumberFormat="1" applyFont="1" applyFill="1"/>
    <xf numFmtId="169" fontId="15" fillId="0" borderId="4" xfId="20" applyNumberFormat="1" applyFill="1" applyBorder="1"/>
    <xf numFmtId="170" fontId="15" fillId="0" borderId="4" xfId="20" applyNumberFormat="1" applyFill="1" applyBorder="1"/>
    <xf numFmtId="171" fontId="15" fillId="0" borderId="4" xfId="20" applyNumberFormat="1" applyFill="1" applyBorder="1"/>
    <xf numFmtId="167" fontId="15" fillId="0" borderId="4" xfId="20" applyNumberFormat="1" applyFill="1" applyBorder="1"/>
    <xf numFmtId="167" fontId="15" fillId="0" borderId="4" xfId="20" applyNumberFormat="1" applyFont="1" applyFill="1" applyBorder="1"/>
    <xf numFmtId="166" fontId="15" fillId="10" borderId="0" xfId="38" applyNumberFormat="1" applyFont="1" applyFill="1" applyBorder="1" applyAlignment="1">
      <alignment horizontal="center" vertical="center"/>
    </xf>
    <xf numFmtId="166" fontId="15" fillId="10" borderId="0" xfId="38" applyNumberFormat="1" applyFont="1" applyFill="1" applyBorder="1" applyAlignment="1">
      <alignment horizontal="center"/>
    </xf>
    <xf numFmtId="170" fontId="15" fillId="0" borderId="4" xfId="20" applyNumberFormat="1" applyFont="1" applyFill="1" applyBorder="1"/>
    <xf numFmtId="1" fontId="72" fillId="0" borderId="28" xfId="412" applyNumberFormat="1" applyFont="1" applyFill="1" applyBorder="1"/>
    <xf numFmtId="0" fontId="64" fillId="0" borderId="51" xfId="23" applyFont="1" applyFill="1" applyBorder="1" applyAlignment="1">
      <alignment horizontal="left" vertical="center"/>
    </xf>
    <xf numFmtId="0" fontId="64" fillId="0" borderId="51" xfId="23" applyFont="1" applyFill="1" applyBorder="1" applyAlignment="1">
      <alignment horizontal="right" vertical="center"/>
    </xf>
    <xf numFmtId="0" fontId="64" fillId="0" borderId="51" xfId="52" applyFont="1" applyFill="1" applyBorder="1" applyAlignment="1">
      <alignment horizontal="right" vertical="center"/>
    </xf>
    <xf numFmtId="0" fontId="64" fillId="0" borderId="51" xfId="23" applyFont="1" applyFill="1" applyBorder="1" applyAlignment="1">
      <alignment vertical="center"/>
    </xf>
    <xf numFmtId="0" fontId="64" fillId="0" borderId="53" xfId="52" applyFont="1" applyFill="1" applyBorder="1" applyAlignment="1">
      <alignment horizontal="right" vertical="center"/>
    </xf>
    <xf numFmtId="0" fontId="10" fillId="0" borderId="51" xfId="23" applyFont="1" applyFill="1" applyBorder="1"/>
    <xf numFmtId="9" fontId="63" fillId="0" borderId="51" xfId="26" applyFont="1" applyFill="1" applyBorder="1" applyAlignment="1">
      <alignment horizontal="right" vertical="center"/>
    </xf>
    <xf numFmtId="1" fontId="63" fillId="0" borderId="51" xfId="23" applyNumberFormat="1" applyFont="1" applyFill="1" applyBorder="1" applyAlignment="1">
      <alignment horizontal="right" vertical="center"/>
    </xf>
    <xf numFmtId="1" fontId="63" fillId="0" borderId="51" xfId="26" applyNumberFormat="1" applyFont="1" applyFill="1" applyBorder="1" applyAlignment="1">
      <alignment horizontal="right" vertical="center"/>
    </xf>
    <xf numFmtId="0" fontId="64" fillId="0" borderId="53" xfId="23" applyFont="1" applyFill="1" applyBorder="1" applyAlignment="1">
      <alignment horizontal="right" vertical="center"/>
    </xf>
    <xf numFmtId="1" fontId="64" fillId="0" borderId="54" xfId="23" applyNumberFormat="1" applyFont="1" applyFill="1" applyBorder="1" applyAlignment="1">
      <alignment horizontal="right" vertical="center"/>
    </xf>
    <xf numFmtId="1" fontId="0" fillId="0" borderId="4" xfId="0" applyNumberFormat="1" applyFill="1" applyBorder="1"/>
    <xf numFmtId="0" fontId="64" fillId="0" borderId="55" xfId="23" applyFont="1" applyFill="1" applyBorder="1" applyAlignment="1">
      <alignment horizontal="right" vertical="center"/>
    </xf>
    <xf numFmtId="181" fontId="64" fillId="0" borderId="51" xfId="23" applyNumberFormat="1" applyFont="1" applyFill="1" applyBorder="1" applyAlignment="1">
      <alignment horizontal="right" vertical="center"/>
    </xf>
    <xf numFmtId="9" fontId="63" fillId="0" borderId="51" xfId="23" applyNumberFormat="1" applyFont="1" applyFill="1" applyBorder="1" applyAlignment="1">
      <alignment horizontal="right" vertical="center"/>
    </xf>
    <xf numFmtId="1" fontId="63" fillId="0" borderId="56" xfId="23" applyNumberFormat="1" applyFont="1" applyFill="1" applyBorder="1" applyAlignment="1">
      <alignment horizontal="right" vertical="center"/>
    </xf>
    <xf numFmtId="9" fontId="63" fillId="0" borderId="51" xfId="51" applyFont="1" applyFill="1" applyBorder="1" applyAlignment="1">
      <alignment horizontal="right" vertical="center"/>
    </xf>
    <xf numFmtId="1" fontId="63" fillId="0" borderId="51" xfId="51" applyNumberFormat="1" applyFont="1" applyFill="1" applyBorder="1" applyAlignment="1">
      <alignment horizontal="right" vertical="center"/>
    </xf>
    <xf numFmtId="1" fontId="64" fillId="0" borderId="51" xfId="23" applyNumberFormat="1" applyFont="1" applyFill="1" applyBorder="1" applyAlignment="1">
      <alignment horizontal="right" vertical="center"/>
    </xf>
    <xf numFmtId="3" fontId="64" fillId="0" borderId="51" xfId="23" applyNumberFormat="1" applyFont="1" applyFill="1" applyBorder="1" applyAlignment="1">
      <alignment horizontal="right" vertical="center"/>
    </xf>
    <xf numFmtId="3" fontId="64" fillId="0" borderId="53" xfId="52" applyNumberFormat="1" applyFont="1" applyFill="1" applyBorder="1" applyAlignment="1">
      <alignment horizontal="right" vertical="center"/>
    </xf>
    <xf numFmtId="3" fontId="64" fillId="0" borderId="51" xfId="52" applyNumberFormat="1" applyFont="1" applyFill="1" applyBorder="1" applyAlignment="1">
      <alignment horizontal="right" vertical="center"/>
    </xf>
    <xf numFmtId="9" fontId="57" fillId="0" borderId="51" xfId="51" applyFont="1" applyFill="1" applyBorder="1" applyAlignment="1">
      <alignment horizontal="right" vertical="center"/>
    </xf>
    <xf numFmtId="9" fontId="66" fillId="0" borderId="51" xfId="23" applyNumberFormat="1" applyFont="1" applyFill="1" applyBorder="1" applyAlignment="1">
      <alignment horizontal="right" vertical="center"/>
    </xf>
    <xf numFmtId="9" fontId="57" fillId="0" borderId="51" xfId="26" applyFont="1" applyFill="1" applyBorder="1" applyAlignment="1">
      <alignment horizontal="right" vertical="center"/>
    </xf>
    <xf numFmtId="1" fontId="57" fillId="0" borderId="51" xfId="26" applyNumberFormat="1" applyFont="1" applyFill="1" applyBorder="1" applyAlignment="1">
      <alignment horizontal="right" vertical="center"/>
    </xf>
    <xf numFmtId="0" fontId="10" fillId="0" borderId="53" xfId="23" applyFont="1" applyFill="1" applyBorder="1"/>
    <xf numFmtId="0" fontId="79" fillId="0" borderId="0" xfId="52" applyFill="1"/>
    <xf numFmtId="9" fontId="66" fillId="0" borderId="51" xfId="26" applyFont="1" applyFill="1" applyBorder="1" applyAlignment="1">
      <alignment horizontal="right" vertical="center"/>
    </xf>
    <xf numFmtId="0" fontId="64" fillId="0" borderId="54" xfId="23" applyFont="1" applyFill="1" applyBorder="1" applyAlignment="1">
      <alignment vertical="center"/>
    </xf>
    <xf numFmtId="9" fontId="63" fillId="0" borderId="54" xfId="26" applyFont="1" applyFill="1" applyBorder="1" applyAlignment="1">
      <alignment horizontal="right" vertical="center"/>
    </xf>
    <xf numFmtId="0" fontId="64" fillId="0" borderId="54" xfId="23" applyFont="1" applyFill="1" applyBorder="1" applyAlignment="1">
      <alignment horizontal="right" vertical="center"/>
    </xf>
    <xf numFmtId="181" fontId="76" fillId="9" borderId="0" xfId="32" applyNumberFormat="1" applyFont="1" applyFill="1" applyBorder="1" applyAlignment="1">
      <alignment horizontal="right"/>
    </xf>
    <xf numFmtId="181" fontId="76" fillId="9" borderId="40" xfId="32" applyNumberFormat="1" applyFont="1" applyFill="1" applyBorder="1" applyAlignment="1">
      <alignment horizontal="right"/>
    </xf>
    <xf numFmtId="0" fontId="15" fillId="6" borderId="4" xfId="20" applyNumberFormat="1" applyFill="1" applyBorder="1" applyAlignment="1">
      <alignment horizontal="center" wrapText="1"/>
    </xf>
    <xf numFmtId="0" fontId="15" fillId="6" borderId="4" xfId="20" applyFill="1" applyBorder="1" applyAlignment="1">
      <alignment horizontal="center" wrapText="1"/>
    </xf>
    <xf numFmtId="0" fontId="15" fillId="0" borderId="2" xfId="20" applyBorder="1" applyAlignment="1">
      <alignment horizontal="center"/>
    </xf>
    <xf numFmtId="0" fontId="15" fillId="0" borderId="34" xfId="20" applyBorder="1" applyAlignment="1">
      <alignment horizontal="center"/>
    </xf>
    <xf numFmtId="171" fontId="15" fillId="6" borderId="4" xfId="20" applyNumberFormat="1" applyFill="1" applyBorder="1" applyAlignment="1">
      <alignment horizontal="center" wrapText="1"/>
    </xf>
    <xf numFmtId="0" fontId="15" fillId="0" borderId="38" xfId="18" applyFill="1" applyBorder="1" applyAlignment="1">
      <alignment horizontal="right"/>
    </xf>
    <xf numFmtId="0" fontId="15" fillId="0" borderId="4" xfId="18" applyBorder="1" applyAlignment="1">
      <alignment horizontal="right"/>
    </xf>
    <xf numFmtId="0" fontId="15" fillId="0" borderId="39" xfId="18" applyNumberFormat="1" applyFont="1" applyFill="1" applyBorder="1" applyAlignment="1">
      <alignment horizontal="right"/>
    </xf>
    <xf numFmtId="0" fontId="0" fillId="0" borderId="4" xfId="0" applyBorder="1" applyAlignment="1">
      <alignment horizontal="right"/>
    </xf>
    <xf numFmtId="0" fontId="15" fillId="0" borderId="4" xfId="0" applyFont="1" applyBorder="1" applyAlignment="1">
      <alignment horizontal="right"/>
    </xf>
    <xf numFmtId="2" fontId="0" fillId="0" borderId="4" xfId="0" applyNumberFormat="1" applyBorder="1" applyAlignment="1">
      <alignment horizontal="right"/>
    </xf>
    <xf numFmtId="169" fontId="0" fillId="0" borderId="4" xfId="0" applyNumberFormat="1" applyBorder="1" applyAlignment="1">
      <alignment horizontal="right"/>
    </xf>
    <xf numFmtId="0" fontId="15" fillId="6" borderId="4" xfId="20" applyFont="1" applyFill="1" applyBorder="1" applyAlignment="1">
      <alignment horizontal="center" wrapText="1"/>
    </xf>
    <xf numFmtId="171" fontId="15" fillId="6" borderId="4" xfId="20" applyNumberFormat="1" applyFont="1" applyFill="1" applyBorder="1" applyAlignment="1">
      <alignment horizontal="center" wrapText="1"/>
    </xf>
    <xf numFmtId="0" fontId="18" fillId="0" borderId="4" xfId="21" applyFont="1" applyFill="1" applyBorder="1" applyAlignment="1">
      <alignment horizontal="center" wrapText="1"/>
    </xf>
    <xf numFmtId="0" fontId="15" fillId="0" borderId="4" xfId="18" applyBorder="1" applyAlignment="1"/>
    <xf numFmtId="0" fontId="15" fillId="0" borderId="39" xfId="18" applyNumberFormat="1" applyFont="1" applyFill="1" applyBorder="1" applyAlignment="1"/>
    <xf numFmtId="0" fontId="0" fillId="0" borderId="4" xfId="0" applyBorder="1" applyAlignment="1"/>
    <xf numFmtId="2" fontId="0" fillId="0" borderId="4" xfId="0" applyNumberFormat="1" applyBorder="1" applyAlignment="1"/>
    <xf numFmtId="169" fontId="0" fillId="0" borderId="4" xfId="0" applyNumberFormat="1" applyBorder="1" applyAlignment="1"/>
    <xf numFmtId="0" fontId="18" fillId="0" borderId="4" xfId="0" applyNumberFormat="1" applyFont="1" applyBorder="1" applyAlignment="1">
      <alignment horizontal="center" wrapText="1"/>
    </xf>
    <xf numFmtId="0" fontId="18" fillId="0" borderId="4" xfId="0" applyFont="1" applyBorder="1" applyAlignment="1">
      <alignment horizontal="center" wrapText="1"/>
    </xf>
    <xf numFmtId="0" fontId="15" fillId="0" borderId="6" xfId="18" applyBorder="1" applyAlignment="1"/>
    <xf numFmtId="0" fontId="15" fillId="0" borderId="19" xfId="18" applyFont="1" applyBorder="1" applyAlignment="1">
      <alignment horizontal="left" wrapText="1"/>
    </xf>
    <xf numFmtId="2" fontId="15" fillId="0" borderId="0" xfId="4" applyNumberFormat="1" applyFont="1" applyFill="1" applyBorder="1" applyAlignment="1">
      <alignment horizontal="left"/>
    </xf>
    <xf numFmtId="0" fontId="15" fillId="0" borderId="19" xfId="18" applyFont="1" applyBorder="1" applyAlignment="1">
      <alignment horizontal="left"/>
    </xf>
    <xf numFmtId="0" fontId="15" fillId="0" borderId="0" xfId="0" applyFont="1" applyFill="1" applyBorder="1" applyAlignment="1">
      <alignment horizontal="left"/>
    </xf>
    <xf numFmtId="3" fontId="15" fillId="0" borderId="0" xfId="84" applyNumberFormat="1" applyFont="1" applyFill="1" applyBorder="1" applyAlignment="1">
      <alignment horizontal="left"/>
    </xf>
    <xf numFmtId="0" fontId="15" fillId="0" borderId="19" xfId="18" applyBorder="1" applyAlignment="1">
      <alignment horizontal="left"/>
    </xf>
    <xf numFmtId="0" fontId="18" fillId="0" borderId="19" xfId="18" applyFont="1" applyBorder="1" applyAlignment="1">
      <alignment horizontal="left"/>
    </xf>
    <xf numFmtId="169" fontId="18" fillId="0" borderId="0" xfId="18" applyNumberFormat="1" applyFont="1" applyFill="1" applyBorder="1" applyAlignment="1">
      <alignment horizontal="left"/>
    </xf>
    <xf numFmtId="0" fontId="18" fillId="0" borderId="0" xfId="18" applyFont="1" applyFill="1" applyBorder="1" applyAlignment="1">
      <alignment horizontal="left"/>
    </xf>
    <xf numFmtId="0" fontId="18" fillId="0" borderId="20" xfId="18" applyFont="1" applyBorder="1" applyAlignment="1">
      <alignment horizontal="left"/>
    </xf>
    <xf numFmtId="0" fontId="18" fillId="0" borderId="7" xfId="18" applyFont="1" applyBorder="1" applyAlignment="1">
      <alignment horizontal="left"/>
    </xf>
    <xf numFmtId="0" fontId="18" fillId="0" borderId="44" xfId="18" applyFont="1" applyFill="1" applyBorder="1" applyAlignment="1">
      <alignment horizontal="center" vertical="center" wrapText="1"/>
    </xf>
    <xf numFmtId="0" fontId="18" fillId="0" borderId="45" xfId="18" applyFont="1" applyFill="1" applyBorder="1" applyAlignment="1">
      <alignment horizontal="center" vertical="center" wrapText="1"/>
    </xf>
    <xf numFmtId="0" fontId="18" fillId="0" borderId="15" xfId="18" applyFont="1" applyFill="1" applyBorder="1" applyAlignment="1">
      <alignment horizontal="center" vertical="center" wrapText="1"/>
    </xf>
    <xf numFmtId="207" fontId="15" fillId="0" borderId="0" xfId="0" applyNumberFormat="1" applyFont="1" applyFill="1" applyBorder="1" applyAlignment="1">
      <alignment horizontal="right"/>
    </xf>
    <xf numFmtId="0" fontId="18" fillId="0" borderId="7" xfId="18" applyFont="1" applyBorder="1" applyAlignment="1">
      <alignment horizontal="right"/>
    </xf>
    <xf numFmtId="0" fontId="15" fillId="0" borderId="38" xfId="18" applyBorder="1" applyAlignment="1">
      <alignment horizontal="left"/>
    </xf>
    <xf numFmtId="2" fontId="15" fillId="0" borderId="0" xfId="4" applyNumberFormat="1" applyFont="1" applyFill="1" applyBorder="1" applyAlignment="1">
      <alignment horizontal="right"/>
    </xf>
    <xf numFmtId="3" fontId="15" fillId="0" borderId="0" xfId="84" applyNumberFormat="1" applyFont="1" applyFill="1" applyBorder="1" applyAlignment="1">
      <alignment horizontal="right"/>
    </xf>
    <xf numFmtId="169" fontId="18" fillId="0" borderId="0" xfId="18" applyNumberFormat="1" applyFont="1" applyFill="1" applyBorder="1" applyAlignment="1">
      <alignment horizontal="right"/>
    </xf>
    <xf numFmtId="0" fontId="15" fillId="0" borderId="18" xfId="0" applyFont="1" applyBorder="1" applyAlignment="1">
      <alignment horizontal="center"/>
    </xf>
    <xf numFmtId="0" fontId="0" fillId="0" borderId="7" xfId="0" applyFill="1" applyBorder="1"/>
    <xf numFmtId="0" fontId="15" fillId="0" borderId="4" xfId="21" applyFont="1" applyBorder="1" applyAlignment="1">
      <alignment horizontal="left"/>
    </xf>
    <xf numFmtId="0" fontId="18" fillId="0" borderId="14" xfId="21" applyFont="1" applyFill="1" applyBorder="1" applyAlignment="1">
      <alignment horizontal="center"/>
    </xf>
    <xf numFmtId="0" fontId="18" fillId="0" borderId="14" xfId="21" applyFont="1" applyFill="1" applyBorder="1" applyAlignment="1">
      <alignment horizontal="center" wrapText="1"/>
    </xf>
    <xf numFmtId="0" fontId="18" fillId="0" borderId="15" xfId="21" applyFont="1" applyFill="1" applyBorder="1" applyAlignment="1">
      <alignment horizontal="center" wrapText="1"/>
    </xf>
    <xf numFmtId="0" fontId="14" fillId="0" borderId="2" xfId="0" applyFont="1" applyBorder="1" applyAlignment="1"/>
    <xf numFmtId="0" fontId="15" fillId="0" borderId="2" xfId="0" applyFont="1" applyBorder="1" applyAlignment="1"/>
    <xf numFmtId="0" fontId="15" fillId="2" borderId="4" xfId="21" applyFont="1" applyFill="1" applyBorder="1" applyAlignment="1">
      <alignment horizontal="center"/>
    </xf>
    <xf numFmtId="168" fontId="16" fillId="0" borderId="9" xfId="21" applyNumberFormat="1" applyFont="1" applyFill="1" applyBorder="1" applyAlignment="1">
      <alignment horizontal="center" wrapText="1"/>
    </xf>
    <xf numFmtId="0" fontId="16" fillId="0" borderId="18" xfId="21" applyFont="1" applyBorder="1" applyAlignment="1">
      <alignment horizontal="center" wrapText="1"/>
    </xf>
    <xf numFmtId="173" fontId="16" fillId="0" borderId="9" xfId="21" applyNumberFormat="1" applyFont="1" applyFill="1" applyBorder="1" applyAlignment="1">
      <alignment horizontal="center" wrapText="1"/>
    </xf>
    <xf numFmtId="0" fontId="16" fillId="0" borderId="9" xfId="21" applyFont="1" applyBorder="1" applyAlignment="1">
      <alignment horizontal="center"/>
    </xf>
    <xf numFmtId="0" fontId="16" fillId="0" borderId="10" xfId="21" applyFont="1" applyBorder="1" applyAlignment="1">
      <alignment horizontal="center" wrapText="1"/>
    </xf>
    <xf numFmtId="168" fontId="18" fillId="2" borderId="12" xfId="21" applyNumberFormat="1" applyFont="1" applyFill="1" applyBorder="1" applyAlignment="1">
      <alignment horizontal="center" wrapText="1"/>
    </xf>
    <xf numFmtId="0" fontId="18" fillId="2" borderId="12" xfId="21" applyFont="1" applyFill="1" applyBorder="1" applyAlignment="1">
      <alignment horizontal="center" wrapText="1"/>
    </xf>
    <xf numFmtId="0" fontId="18" fillId="2" borderId="13" xfId="21" applyFont="1" applyFill="1" applyBorder="1" applyAlignment="1">
      <alignment horizontal="center" wrapText="1"/>
    </xf>
    <xf numFmtId="0" fontId="18" fillId="2" borderId="11" xfId="21" applyFont="1" applyFill="1" applyBorder="1" applyAlignment="1">
      <alignment horizontal="justify" wrapText="1"/>
    </xf>
    <xf numFmtId="0" fontId="16" fillId="0" borderId="25" xfId="21" applyFont="1" applyFill="1" applyBorder="1" applyAlignment="1">
      <alignment horizontal="right" vertical="top" wrapText="1"/>
    </xf>
    <xf numFmtId="169" fontId="16" fillId="0" borderId="1" xfId="21" applyNumberFormat="1" applyFill="1" applyBorder="1" applyAlignment="1"/>
    <xf numFmtId="169" fontId="16" fillId="0" borderId="14" xfId="21" applyNumberFormat="1" applyFill="1" applyBorder="1" applyAlignment="1"/>
    <xf numFmtId="0" fontId="16" fillId="0" borderId="14" xfId="21" applyFont="1" applyFill="1" applyBorder="1" applyAlignment="1">
      <alignment horizontal="justify" vertical="top" wrapText="1"/>
    </xf>
    <xf numFmtId="0" fontId="16" fillId="0" borderId="1" xfId="21" applyFont="1" applyFill="1" applyBorder="1" applyAlignment="1">
      <alignment horizontal="justify" vertical="top" wrapText="1"/>
    </xf>
    <xf numFmtId="173" fontId="16" fillId="0" borderId="0" xfId="21" applyNumberFormat="1" applyFill="1" applyAlignment="1"/>
    <xf numFmtId="168" fontId="16" fillId="0" borderId="0" xfId="21" applyNumberFormat="1" applyFill="1" applyAlignment="1"/>
    <xf numFmtId="0" fontId="16" fillId="0" borderId="0" xfId="21" applyFont="1" applyFill="1" applyBorder="1" applyAlignment="1">
      <alignment horizontal="justify" vertical="top" wrapText="1"/>
    </xf>
    <xf numFmtId="0" fontId="16" fillId="0" borderId="18" xfId="21" applyFont="1" applyFill="1" applyBorder="1" applyAlignment="1">
      <alignment horizontal="center" wrapText="1"/>
    </xf>
    <xf numFmtId="0" fontId="16" fillId="0" borderId="9" xfId="21" applyFont="1" applyFill="1" applyBorder="1" applyAlignment="1">
      <alignment horizontal="center"/>
    </xf>
    <xf numFmtId="0" fontId="16" fillId="0" borderId="10" xfId="21" applyFont="1" applyFill="1" applyBorder="1" applyAlignment="1">
      <alignment horizontal="center" wrapText="1"/>
    </xf>
    <xf numFmtId="169" fontId="15" fillId="0" borderId="17" xfId="21" applyNumberFormat="1" applyFont="1" applyFill="1" applyBorder="1" applyAlignment="1"/>
    <xf numFmtId="169" fontId="9" fillId="0" borderId="1" xfId="53" applyNumberFormat="1" applyFill="1" applyBorder="1"/>
    <xf numFmtId="183" fontId="58" fillId="0" borderId="1" xfId="53" applyNumberFormat="1" applyFont="1" applyFill="1" applyBorder="1"/>
    <xf numFmtId="0" fontId="15" fillId="0" borderId="57" xfId="21" applyFont="1" applyFill="1" applyBorder="1" applyAlignment="1"/>
    <xf numFmtId="172" fontId="8" fillId="0" borderId="58" xfId="54" applyNumberFormat="1" applyFill="1" applyBorder="1"/>
    <xf numFmtId="173" fontId="16" fillId="0" borderId="0" xfId="21" applyNumberFormat="1" applyFill="1" applyBorder="1" applyAlignment="1"/>
    <xf numFmtId="169" fontId="16" fillId="0" borderId="6" xfId="21" applyNumberFormat="1" applyFill="1" applyBorder="1" applyAlignment="1"/>
    <xf numFmtId="0" fontId="16" fillId="0" borderId="19" xfId="21" applyFill="1" applyBorder="1" applyAlignment="1"/>
    <xf numFmtId="0" fontId="16" fillId="0" borderId="20" xfId="21" applyFill="1" applyBorder="1" applyAlignment="1"/>
    <xf numFmtId="0" fontId="16" fillId="0" borderId="7" xfId="21" applyFill="1" applyBorder="1" applyAlignment="1"/>
    <xf numFmtId="0" fontId="16" fillId="0" borderId="8" xfId="21" applyFill="1" applyBorder="1" applyAlignment="1"/>
    <xf numFmtId="0" fontId="16" fillId="0" borderId="18" xfId="21" applyFill="1" applyBorder="1" applyAlignment="1"/>
    <xf numFmtId="173" fontId="16" fillId="0" borderId="9" xfId="21" applyNumberFormat="1" applyFill="1" applyBorder="1" applyAlignment="1"/>
    <xf numFmtId="168" fontId="16" fillId="0" borderId="10" xfId="21" applyNumberFormat="1" applyFill="1" applyBorder="1" applyAlignment="1"/>
    <xf numFmtId="0" fontId="48" fillId="0" borderId="0" xfId="0" applyFont="1" applyFill="1" applyBorder="1" applyAlignment="1">
      <alignment vertical="center"/>
    </xf>
    <xf numFmtId="0" fontId="15" fillId="0" borderId="31" xfId="0" applyFont="1" applyFill="1" applyBorder="1"/>
    <xf numFmtId="0" fontId="15" fillId="0" borderId="2" xfId="0" applyFont="1" applyFill="1" applyBorder="1"/>
    <xf numFmtId="0" fontId="0" fillId="0" borderId="2" xfId="0" applyFill="1" applyBorder="1"/>
    <xf numFmtId="0" fontId="0" fillId="0" borderId="34" xfId="0" applyFill="1" applyBorder="1"/>
    <xf numFmtId="0" fontId="15" fillId="0" borderId="32" xfId="0" applyFont="1" applyFill="1" applyBorder="1"/>
    <xf numFmtId="0" fontId="15" fillId="0" borderId="32" xfId="0" quotePrefix="1" applyFont="1" applyFill="1" applyBorder="1"/>
    <xf numFmtId="0" fontId="15" fillId="0" borderId="32" xfId="0" quotePrefix="1" applyFont="1" applyFill="1" applyBorder="1" applyAlignment="1">
      <alignment vertical="center"/>
    </xf>
    <xf numFmtId="0" fontId="15" fillId="0" borderId="32" xfId="0" applyFont="1" applyFill="1" applyBorder="1" applyAlignment="1">
      <alignment vertical="center"/>
    </xf>
    <xf numFmtId="0" fontId="15" fillId="0" borderId="33" xfId="0" quotePrefix="1" applyFont="1" applyFill="1" applyBorder="1"/>
    <xf numFmtId="0" fontId="15" fillId="0" borderId="36" xfId="0" applyFont="1" applyFill="1" applyBorder="1"/>
    <xf numFmtId="0" fontId="0" fillId="0" borderId="36" xfId="0" applyFill="1" applyBorder="1"/>
    <xf numFmtId="0" fontId="52" fillId="0" borderId="24" xfId="0" applyFont="1" applyFill="1" applyBorder="1" applyAlignment="1">
      <alignment horizontal="center" vertical="center" wrapText="1"/>
    </xf>
    <xf numFmtId="181" fontId="53" fillId="0" borderId="4" xfId="49" applyNumberFormat="1" applyFont="1" applyFill="1" applyBorder="1" applyAlignment="1">
      <alignment horizontal="center"/>
    </xf>
    <xf numFmtId="1" fontId="53" fillId="0" borderId="0" xfId="0" applyNumberFormat="1" applyFont="1" applyFill="1" applyBorder="1" applyAlignment="1">
      <alignment horizontal="center"/>
    </xf>
    <xf numFmtId="2" fontId="0" fillId="0" borderId="0" xfId="0" applyNumberFormat="1" applyFill="1" applyBorder="1"/>
    <xf numFmtId="169" fontId="18" fillId="0" borderId="0" xfId="0" applyNumberFormat="1" applyFont="1" applyFill="1" applyBorder="1"/>
    <xf numFmtId="3" fontId="55" fillId="0" borderId="0" xfId="0" applyNumberFormat="1" applyFont="1" applyFill="1" applyBorder="1" applyAlignment="1">
      <alignment horizontal="right"/>
    </xf>
    <xf numFmtId="0" fontId="113" fillId="0" borderId="0" xfId="0" applyFont="1" applyFill="1" applyBorder="1" applyAlignment="1">
      <alignment horizontal="left" vertical="center"/>
    </xf>
    <xf numFmtId="0" fontId="0" fillId="0" borderId="9" xfId="0" applyFill="1" applyBorder="1"/>
    <xf numFmtId="0" fontId="48" fillId="0" borderId="9" xfId="0" applyFont="1" applyFill="1" applyBorder="1"/>
    <xf numFmtId="0" fontId="48" fillId="0" borderId="10" xfId="0" applyFont="1" applyFill="1" applyBorder="1"/>
    <xf numFmtId="0" fontId="35" fillId="0" borderId="19" xfId="0" applyFont="1" applyFill="1" applyBorder="1" applyAlignment="1">
      <alignment vertical="center"/>
    </xf>
    <xf numFmtId="0" fontId="48" fillId="0" borderId="0" xfId="0" applyFont="1" applyFill="1" applyBorder="1"/>
    <xf numFmtId="0" fontId="56" fillId="0" borderId="0" xfId="14" applyFont="1" applyFill="1" applyBorder="1" applyAlignment="1" applyProtection="1">
      <alignment vertical="center"/>
    </xf>
    <xf numFmtId="0" fontId="48" fillId="0" borderId="6" xfId="0" applyFont="1" applyFill="1" applyBorder="1"/>
    <xf numFmtId="9" fontId="59" fillId="0" borderId="0" xfId="25" applyNumberFormat="1" applyFont="1" applyFill="1" applyBorder="1"/>
    <xf numFmtId="9" fontId="59" fillId="0" borderId="0" xfId="25" applyNumberFormat="1" applyFont="1" applyFill="1" applyBorder="1" applyAlignment="1">
      <alignment vertical="top" wrapText="1"/>
    </xf>
    <xf numFmtId="0" fontId="15" fillId="0" borderId="20" xfId="18" applyFill="1" applyBorder="1"/>
    <xf numFmtId="0" fontId="15" fillId="0" borderId="7" xfId="18" applyFill="1" applyBorder="1"/>
    <xf numFmtId="0" fontId="15" fillId="0" borderId="8" xfId="18" applyFill="1" applyBorder="1"/>
    <xf numFmtId="0" fontId="69" fillId="0" borderId="18" xfId="0" applyFont="1" applyFill="1" applyBorder="1" applyAlignment="1">
      <alignment vertical="center"/>
    </xf>
    <xf numFmtId="0" fontId="53" fillId="0" borderId="24" xfId="0" applyFont="1" applyFill="1" applyBorder="1" applyAlignment="1">
      <alignment horizontal="right"/>
    </xf>
    <xf numFmtId="2" fontId="53" fillId="0" borderId="24" xfId="0" applyNumberFormat="1" applyFont="1" applyFill="1" applyBorder="1" applyAlignment="1">
      <alignment horizontal="right"/>
    </xf>
    <xf numFmtId="181" fontId="53" fillId="0" borderId="31" xfId="49" applyNumberFormat="1" applyFont="1" applyFill="1" applyBorder="1" applyAlignment="1">
      <alignment horizontal="right"/>
    </xf>
    <xf numFmtId="171" fontId="54" fillId="0" borderId="24" xfId="0" applyNumberFormat="1" applyFont="1" applyFill="1" applyBorder="1" applyAlignment="1">
      <alignment horizontal="right"/>
    </xf>
    <xf numFmtId="0" fontId="53" fillId="0" borderId="43" xfId="0" applyFont="1" applyFill="1" applyBorder="1" applyAlignment="1">
      <alignment horizontal="right"/>
    </xf>
    <xf numFmtId="2" fontId="53" fillId="0" borderId="43" xfId="0" applyNumberFormat="1" applyFont="1" applyFill="1" applyBorder="1" applyAlignment="1">
      <alignment horizontal="right"/>
    </xf>
    <xf numFmtId="181" fontId="53" fillId="0" borderId="32" xfId="49" applyNumberFormat="1" applyFont="1" applyFill="1" applyBorder="1" applyAlignment="1">
      <alignment horizontal="right"/>
    </xf>
    <xf numFmtId="171" fontId="54" fillId="0" borderId="43" xfId="0" applyNumberFormat="1" applyFont="1" applyFill="1" applyBorder="1" applyAlignment="1">
      <alignment horizontal="right"/>
    </xf>
    <xf numFmtId="0" fontId="53" fillId="0" borderId="22" xfId="0" applyFont="1" applyFill="1" applyBorder="1" applyAlignment="1">
      <alignment horizontal="right"/>
    </xf>
    <xf numFmtId="2" fontId="53" fillId="0" borderId="22" xfId="0" applyNumberFormat="1" applyFont="1" applyFill="1" applyBorder="1" applyAlignment="1">
      <alignment horizontal="right"/>
    </xf>
    <xf numFmtId="181" fontId="53" fillId="0" borderId="33" xfId="49" applyNumberFormat="1" applyFont="1" applyFill="1" applyBorder="1" applyAlignment="1">
      <alignment horizontal="right"/>
    </xf>
    <xf numFmtId="171" fontId="54" fillId="0" borderId="22" xfId="0" applyNumberFormat="1" applyFont="1" applyFill="1" applyBorder="1" applyAlignment="1">
      <alignment horizontal="right"/>
    </xf>
    <xf numFmtId="0" fontId="15" fillId="0" borderId="24" xfId="18" applyBorder="1"/>
    <xf numFmtId="0" fontId="15" fillId="0" borderId="35" xfId="18" applyBorder="1"/>
    <xf numFmtId="0" fontId="15" fillId="0" borderId="37" xfId="18" applyBorder="1"/>
    <xf numFmtId="0" fontId="35" fillId="0" borderId="8" xfId="20" applyFont="1" applyBorder="1" applyAlignment="1">
      <alignment horizontal="left"/>
    </xf>
    <xf numFmtId="0" fontId="35" fillId="9" borderId="8" xfId="20" applyFont="1" applyFill="1" applyBorder="1" applyAlignment="1">
      <alignment horizontal="left"/>
    </xf>
    <xf numFmtId="0" fontId="35" fillId="8" borderId="8" xfId="20" applyFont="1" applyFill="1" applyBorder="1" applyAlignment="1">
      <alignment horizontal="left"/>
    </xf>
    <xf numFmtId="171" fontId="15" fillId="0" borderId="8" xfId="20" applyNumberFormat="1" applyFont="1" applyFill="1" applyBorder="1" applyAlignment="1">
      <alignment horizontal="right"/>
    </xf>
    <xf numFmtId="0" fontId="72" fillId="0" borderId="8" xfId="0" applyFont="1" applyFill="1" applyBorder="1" applyAlignment="1">
      <alignment horizontal="right" vertical="center"/>
    </xf>
    <xf numFmtId="169" fontId="72" fillId="0" borderId="28" xfId="0" applyNumberFormat="1" applyFont="1" applyFill="1" applyBorder="1" applyAlignment="1">
      <alignment horizontal="right" vertical="center"/>
    </xf>
    <xf numFmtId="0" fontId="72" fillId="0" borderId="29" xfId="0" applyFont="1" applyFill="1" applyBorder="1" applyAlignment="1">
      <alignment horizontal="right" vertical="center"/>
    </xf>
    <xf numFmtId="2" fontId="15" fillId="0" borderId="8" xfId="20" applyNumberFormat="1" applyFont="1" applyFill="1" applyBorder="1" applyAlignment="1">
      <alignment horizontal="right"/>
    </xf>
    <xf numFmtId="169" fontId="15" fillId="0" borderId="8" xfId="20" applyNumberFormat="1" applyFont="1" applyFill="1" applyBorder="1" applyAlignment="1">
      <alignment horizontal="right"/>
    </xf>
    <xf numFmtId="173" fontId="15" fillId="0" borderId="8" xfId="20" applyNumberFormat="1" applyFont="1" applyFill="1" applyBorder="1" applyAlignment="1">
      <alignment horizontal="right"/>
    </xf>
    <xf numFmtId="168" fontId="15" fillId="0" borderId="8" xfId="20" applyNumberFormat="1" applyFont="1" applyFill="1" applyBorder="1" applyAlignment="1">
      <alignment horizontal="right"/>
    </xf>
    <xf numFmtId="167" fontId="15" fillId="0" borderId="8" xfId="20" applyNumberFormat="1" applyFont="1" applyFill="1" applyBorder="1" applyAlignment="1">
      <alignment horizontal="right"/>
    </xf>
    <xf numFmtId="170" fontId="15" fillId="0" borderId="8" xfId="20" applyNumberFormat="1" applyFont="1" applyFill="1" applyBorder="1" applyAlignment="1">
      <alignment horizontal="right"/>
    </xf>
    <xf numFmtId="1" fontId="15" fillId="0" borderId="8" xfId="20" applyNumberFormat="1" applyFont="1" applyFill="1" applyBorder="1" applyAlignment="1">
      <alignment horizontal="right"/>
    </xf>
    <xf numFmtId="172" fontId="15" fillId="0" borderId="8" xfId="20" applyNumberFormat="1" applyFont="1" applyFill="1" applyBorder="1" applyAlignment="1">
      <alignment horizontal="right"/>
    </xf>
    <xf numFmtId="181" fontId="10" fillId="0" borderId="4" xfId="32" applyNumberFormat="1" applyFont="1" applyFill="1" applyBorder="1"/>
    <xf numFmtId="181" fontId="0" fillId="0" borderId="4" xfId="32" applyNumberFormat="1" applyFont="1" applyFill="1" applyBorder="1"/>
    <xf numFmtId="0" fontId="64" fillId="0" borderId="51" xfId="23" applyFont="1" applyFill="1" applyBorder="1" applyAlignment="1">
      <alignment horizontal="center" vertical="center" wrapText="1"/>
    </xf>
    <xf numFmtId="0" fontId="65" fillId="0" borderId="51" xfId="23" applyFont="1" applyFill="1" applyBorder="1" applyAlignment="1">
      <alignment horizontal="center" vertical="center" wrapText="1"/>
    </xf>
    <xf numFmtId="0" fontId="63" fillId="0" borderId="51" xfId="23" applyFont="1" applyFill="1" applyBorder="1" applyAlignment="1">
      <alignment horizontal="center" vertical="center" wrapText="1"/>
    </xf>
    <xf numFmtId="0" fontId="10" fillId="0" borderId="52" xfId="23" applyFont="1" applyFill="1" applyBorder="1"/>
    <xf numFmtId="0" fontId="15" fillId="0" borderId="4" xfId="0" applyFont="1" applyBorder="1" applyAlignment="1">
      <alignment horizontal="center" vertical="top" wrapText="1"/>
    </xf>
    <xf numFmtId="0" fontId="18" fillId="2" borderId="4" xfId="18" applyFont="1" applyFill="1" applyBorder="1" applyAlignment="1">
      <alignment horizontal="left" vertical="center"/>
    </xf>
    <xf numFmtId="0" fontId="15" fillId="10" borderId="0" xfId="20" applyFont="1" applyFill="1" applyBorder="1" applyAlignment="1">
      <alignment horizontal="center"/>
    </xf>
    <xf numFmtId="0" fontId="15" fillId="10" borderId="9" xfId="20" applyFont="1" applyFill="1" applyBorder="1" applyAlignment="1">
      <alignment horizontal="center"/>
    </xf>
    <xf numFmtId="0" fontId="18" fillId="10" borderId="9" xfId="0" applyFont="1" applyFill="1" applyBorder="1" applyAlignment="1">
      <alignment horizontal="center" vertical="center"/>
    </xf>
    <xf numFmtId="0" fontId="18" fillId="10" borderId="9" xfId="20" applyFont="1" applyFill="1" applyBorder="1" applyAlignment="1">
      <alignment horizontal="center" vertical="center"/>
    </xf>
    <xf numFmtId="2" fontId="15" fillId="0" borderId="4" xfId="20" applyNumberFormat="1" applyFont="1" applyFill="1" applyBorder="1" applyAlignment="1">
      <alignment horizontal="right" vertical="center"/>
    </xf>
    <xf numFmtId="172" fontId="15" fillId="0" borderId="4" xfId="20" applyNumberFormat="1" applyFont="1" applyFill="1" applyBorder="1" applyAlignment="1">
      <alignment horizontal="right" vertical="center"/>
    </xf>
    <xf numFmtId="179" fontId="15" fillId="0" borderId="4" xfId="20" applyNumberFormat="1" applyFont="1" applyFill="1" applyBorder="1" applyAlignment="1">
      <alignment horizontal="right" vertical="center"/>
    </xf>
    <xf numFmtId="0" fontId="15" fillId="0" borderId="2" xfId="20" applyFont="1" applyBorder="1" applyAlignment="1">
      <alignment horizontal="center"/>
    </xf>
    <xf numFmtId="0" fontId="15" fillId="0" borderId="0" xfId="20" applyFont="1" applyFill="1" applyBorder="1" applyAlignment="1">
      <alignment horizontal="center"/>
    </xf>
    <xf numFmtId="0" fontId="15" fillId="6" borderId="4" xfId="20" applyFill="1" applyBorder="1" applyAlignment="1">
      <alignment wrapText="1"/>
    </xf>
    <xf numFmtId="0" fontId="15" fillId="0" borderId="4" xfId="21" applyFont="1" applyFill="1" applyBorder="1" applyAlignment="1">
      <alignment horizontal="left"/>
    </xf>
    <xf numFmtId="0" fontId="15" fillId="2" borderId="4" xfId="21" applyFont="1" applyFill="1" applyBorder="1" applyAlignment="1">
      <alignment vertical="center" wrapText="1"/>
    </xf>
    <xf numFmtId="173" fontId="15" fillId="2" borderId="4" xfId="21" applyNumberFormat="1" applyFont="1" applyFill="1" applyBorder="1" applyAlignment="1">
      <alignment vertical="center" wrapText="1"/>
    </xf>
    <xf numFmtId="0" fontId="15" fillId="2" borderId="4" xfId="21" applyFont="1" applyFill="1" applyBorder="1" applyAlignment="1">
      <alignment horizontal="left" vertical="center"/>
    </xf>
    <xf numFmtId="0" fontId="15" fillId="0" borderId="3" xfId="18" applyBorder="1" applyAlignment="1">
      <alignment horizontal="left"/>
    </xf>
    <xf numFmtId="166" fontId="72" fillId="0" borderId="4" xfId="373" applyNumberFormat="1" applyFont="1" applyFill="1" applyBorder="1" applyAlignment="1">
      <alignment horizontal="right"/>
    </xf>
    <xf numFmtId="0" fontId="15" fillId="0" borderId="4" xfId="0" applyFont="1" applyFill="1" applyBorder="1" applyAlignment="1">
      <alignment horizontal="left"/>
    </xf>
    <xf numFmtId="0" fontId="16" fillId="0" borderId="19" xfId="0" applyFont="1" applyBorder="1" applyAlignment="1">
      <alignment horizontal="left"/>
    </xf>
    <xf numFmtId="0" fontId="0" fillId="0" borderId="19" xfId="0" applyBorder="1" applyAlignment="1">
      <alignment horizontal="left"/>
    </xf>
    <xf numFmtId="0" fontId="15" fillId="0" borderId="19" xfId="0" applyFont="1" applyBorder="1" applyAlignment="1">
      <alignment horizontal="left"/>
    </xf>
    <xf numFmtId="4" fontId="15" fillId="0" borderId="0" xfId="0" applyNumberFormat="1" applyFont="1" applyFill="1" applyBorder="1" applyAlignment="1">
      <alignment horizontal="right"/>
    </xf>
    <xf numFmtId="0" fontId="15" fillId="0" borderId="0" xfId="0" applyFont="1" applyFill="1" applyBorder="1" applyAlignment="1">
      <alignment horizontal="right"/>
    </xf>
    <xf numFmtId="3" fontId="15" fillId="0" borderId="0" xfId="0" applyNumberFormat="1" applyFont="1" applyFill="1" applyBorder="1" applyAlignment="1">
      <alignment horizontal="right"/>
    </xf>
    <xf numFmtId="169" fontId="15" fillId="0" borderId="0" xfId="0" applyNumberFormat="1" applyFont="1" applyFill="1" applyBorder="1" applyAlignment="1">
      <alignment horizontal="right"/>
    </xf>
    <xf numFmtId="183" fontId="15" fillId="0" borderId="0" xfId="0" applyNumberFormat="1" applyFont="1" applyFill="1" applyBorder="1" applyAlignment="1">
      <alignment horizontal="right"/>
    </xf>
    <xf numFmtId="172" fontId="15" fillId="0" borderId="0" xfId="0" applyNumberFormat="1" applyFont="1" applyFill="1" applyBorder="1" applyAlignment="1">
      <alignment horizontal="right"/>
    </xf>
    <xf numFmtId="0" fontId="15" fillId="0" borderId="4" xfId="0" applyFont="1" applyBorder="1" applyAlignment="1">
      <alignment horizontal="left"/>
    </xf>
    <xf numFmtId="166" fontId="72" fillId="0" borderId="4" xfId="323" applyNumberFormat="1" applyFont="1" applyFill="1" applyBorder="1" applyAlignment="1">
      <alignment horizontal="right"/>
    </xf>
    <xf numFmtId="0" fontId="15" fillId="0" borderId="8" xfId="0" applyFont="1" applyBorder="1" applyAlignment="1">
      <alignment horizontal="left"/>
    </xf>
    <xf numFmtId="0" fontId="18" fillId="5" borderId="46" xfId="0" applyFont="1" applyFill="1" applyBorder="1" applyAlignment="1">
      <alignment horizontal="left"/>
    </xf>
    <xf numFmtId="0" fontId="18" fillId="5" borderId="30" xfId="0" applyFont="1" applyFill="1" applyBorder="1" applyAlignment="1">
      <alignment horizontal="left"/>
    </xf>
    <xf numFmtId="0" fontId="15" fillId="0" borderId="7" xfId="0" applyFont="1" applyFill="1" applyBorder="1" applyAlignment="1">
      <alignment horizontal="left"/>
    </xf>
    <xf numFmtId="173" fontId="16" fillId="0" borderId="22" xfId="21" applyNumberFormat="1" applyFont="1" applyFill="1" applyBorder="1" applyAlignment="1">
      <alignment horizontal="left" vertical="top" wrapText="1"/>
    </xf>
    <xf numFmtId="173" fontId="16" fillId="0" borderId="4" xfId="21" applyNumberFormat="1" applyFont="1" applyFill="1" applyBorder="1" applyAlignment="1">
      <alignment horizontal="left" vertical="top" wrapText="1"/>
    </xf>
    <xf numFmtId="173" fontId="16" fillId="0" borderId="1" xfId="21" applyNumberFormat="1" applyFont="1" applyFill="1" applyBorder="1" applyAlignment="1">
      <alignment horizontal="left" vertical="top" wrapText="1"/>
    </xf>
    <xf numFmtId="173" fontId="16" fillId="0" borderId="14" xfId="21" applyNumberFormat="1" applyFont="1" applyFill="1" applyBorder="1" applyAlignment="1">
      <alignment horizontal="left" vertical="top" wrapText="1"/>
    </xf>
    <xf numFmtId="173" fontId="18" fillId="2" borderId="12" xfId="21" applyNumberFormat="1" applyFont="1" applyFill="1" applyBorder="1" applyAlignment="1">
      <alignment horizontal="left" wrapText="1"/>
    </xf>
    <xf numFmtId="0" fontId="18" fillId="2" borderId="11" xfId="21" applyFont="1" applyFill="1" applyBorder="1" applyAlignment="1">
      <alignment horizontal="left" wrapText="1"/>
    </xf>
    <xf numFmtId="0" fontId="0" fillId="0" borderId="19" xfId="0" applyFill="1" applyBorder="1" applyAlignment="1">
      <alignment horizontal="left"/>
    </xf>
    <xf numFmtId="0" fontId="15" fillId="0" borderId="0" xfId="0" quotePrefix="1" applyFont="1" applyFill="1" applyBorder="1" applyAlignment="1">
      <alignment horizontal="center" vertical="top" wrapText="1"/>
    </xf>
    <xf numFmtId="0" fontId="0" fillId="0" borderId="0" xfId="0" quotePrefix="1" applyFill="1" applyBorder="1" applyAlignment="1">
      <alignment horizontal="center" vertical="top" wrapText="1"/>
    </xf>
    <xf numFmtId="0" fontId="15" fillId="0" borderId="0" xfId="20" applyFont="1" applyFill="1" applyAlignment="1">
      <alignment wrapText="1"/>
    </xf>
    <xf numFmtId="0" fontId="15" fillId="0" borderId="0" xfId="20" applyFont="1" applyFill="1" applyBorder="1" applyAlignment="1">
      <alignment wrapText="1"/>
    </xf>
    <xf numFmtId="0" fontId="15" fillId="0" borderId="0" xfId="20" applyFont="1" applyFill="1" applyBorder="1" applyAlignment="1">
      <alignment vertical="center" wrapText="1"/>
    </xf>
    <xf numFmtId="0" fontId="15" fillId="0" borderId="0" xfId="20" applyFont="1" applyAlignment="1">
      <alignment vertical="center" wrapText="1"/>
    </xf>
    <xf numFmtId="0" fontId="15" fillId="0" borderId="0" xfId="0" applyFont="1" applyAlignment="1">
      <alignment vertical="center" wrapText="1"/>
    </xf>
    <xf numFmtId="0" fontId="15" fillId="0" borderId="0" xfId="20" applyFont="1" applyAlignment="1">
      <alignment wrapText="1"/>
    </xf>
    <xf numFmtId="0" fontId="14" fillId="0" borderId="2" xfId="0" applyFont="1" applyBorder="1" applyAlignment="1">
      <alignment horizontal="justify"/>
    </xf>
    <xf numFmtId="0" fontId="14" fillId="0" borderId="0" xfId="0" applyFont="1" applyAlignment="1">
      <alignment horizontal="justify"/>
    </xf>
    <xf numFmtId="0" fontId="15" fillId="0" borderId="0" xfId="0" applyFont="1" applyAlignment="1">
      <alignment horizontal="justify"/>
    </xf>
    <xf numFmtId="0" fontId="15" fillId="0" borderId="0" xfId="0" applyFont="1" applyAlignment="1"/>
    <xf numFmtId="0" fontId="15" fillId="0" borderId="4" xfId="0" applyFont="1" applyBorder="1" applyAlignment="1">
      <alignment horizontal="center" vertical="top" wrapText="1"/>
    </xf>
    <xf numFmtId="9" fontId="15" fillId="0" borderId="4" xfId="0" applyNumberFormat="1" applyFont="1" applyBorder="1" applyAlignment="1">
      <alignment horizontal="center" vertical="top" wrapText="1"/>
    </xf>
    <xf numFmtId="0" fontId="15" fillId="0" borderId="4" xfId="0" applyFont="1" applyBorder="1" applyAlignment="1">
      <alignment vertical="top" wrapText="1"/>
    </xf>
    <xf numFmtId="0" fontId="18" fillId="0" borderId="4" xfId="0" applyFont="1" applyBorder="1" applyAlignment="1">
      <alignment horizontal="center"/>
    </xf>
    <xf numFmtId="0" fontId="15" fillId="0" borderId="4" xfId="0" applyFont="1" applyBorder="1" applyAlignment="1">
      <alignment horizontal="center"/>
    </xf>
    <xf numFmtId="10" fontId="15" fillId="0" borderId="4" xfId="0" applyNumberFormat="1" applyFont="1" applyBorder="1" applyAlignment="1">
      <alignment horizontal="center" vertical="top" wrapText="1"/>
    </xf>
    <xf numFmtId="0" fontId="41" fillId="0" borderId="0" xfId="0" applyFont="1" applyAlignment="1">
      <alignment horizontal="justify"/>
    </xf>
    <xf numFmtId="0" fontId="0" fillId="0" borderId="0" xfId="0"/>
    <xf numFmtId="0" fontId="14" fillId="0" borderId="9" xfId="0" applyFont="1" applyFill="1" applyBorder="1" applyAlignment="1">
      <alignment horizontal="left" vertical="top" wrapText="1"/>
    </xf>
    <xf numFmtId="0" fontId="15" fillId="0" borderId="3" xfId="14" applyFont="1" applyBorder="1" applyAlignment="1" applyProtection="1">
      <alignment horizontal="justify"/>
    </xf>
    <xf numFmtId="0" fontId="15" fillId="0" borderId="38" xfId="0" applyFont="1" applyBorder="1" applyAlignment="1"/>
    <xf numFmtId="0" fontId="15" fillId="0" borderId="39" xfId="0" applyFont="1" applyBorder="1" applyAlignment="1"/>
    <xf numFmtId="0" fontId="41" fillId="0" borderId="33" xfId="0" applyFont="1" applyBorder="1" applyAlignment="1">
      <alignment horizontal="justify"/>
    </xf>
    <xf numFmtId="0" fontId="15" fillId="0" borderId="36" xfId="0" applyFont="1" applyBorder="1" applyAlignment="1"/>
    <xf numFmtId="0" fontId="15" fillId="0" borderId="37" xfId="0" applyFont="1" applyBorder="1" applyAlignment="1"/>
    <xf numFmtId="0" fontId="15" fillId="0" borderId="0" xfId="0" applyFont="1" applyAlignment="1">
      <alignment wrapText="1"/>
    </xf>
    <xf numFmtId="0" fontId="0" fillId="0" borderId="0" xfId="0" applyAlignment="1">
      <alignment wrapText="1"/>
    </xf>
    <xf numFmtId="0" fontId="15" fillId="0" borderId="24" xfId="18" applyBorder="1" applyAlignment="1">
      <alignment horizontal="left" wrapText="1"/>
    </xf>
    <xf numFmtId="0" fontId="15" fillId="0" borderId="22" xfId="18" applyBorder="1" applyAlignment="1">
      <alignment horizontal="left" wrapText="1"/>
    </xf>
    <xf numFmtId="0" fontId="18" fillId="5" borderId="46" xfId="0" applyFont="1" applyFill="1" applyBorder="1"/>
    <xf numFmtId="0" fontId="18" fillId="5" borderId="30" xfId="0" applyFont="1" applyFill="1" applyBorder="1"/>
    <xf numFmtId="0" fontId="18" fillId="5" borderId="46" xfId="0" applyFont="1" applyFill="1" applyBorder="1" applyAlignment="1">
      <alignment horizontal="left"/>
    </xf>
    <xf numFmtId="0" fontId="18" fillId="5" borderId="30" xfId="0" applyFont="1" applyFill="1" applyBorder="1" applyAlignment="1">
      <alignment horizontal="left"/>
    </xf>
    <xf numFmtId="0" fontId="112" fillId="0" borderId="68" xfId="173" applyFont="1" applyBorder="1" applyAlignment="1">
      <alignment horizontal="center" wrapText="1"/>
    </xf>
    <xf numFmtId="0" fontId="112" fillId="0" borderId="69" xfId="173" applyFont="1" applyBorder="1" applyAlignment="1">
      <alignment horizontal="center" wrapText="1"/>
    </xf>
    <xf numFmtId="0" fontId="112" fillId="0" borderId="70" xfId="173" applyFont="1" applyBorder="1" applyAlignment="1">
      <alignment horizontal="center" wrapText="1"/>
    </xf>
    <xf numFmtId="0" fontId="18" fillId="5" borderId="46" xfId="0" applyFont="1" applyFill="1" applyBorder="1" applyAlignment="1">
      <alignment horizontal="center" wrapText="1"/>
    </xf>
    <xf numFmtId="0" fontId="18" fillId="5" borderId="42" xfId="0" applyFont="1" applyFill="1" applyBorder="1" applyAlignment="1">
      <alignment horizontal="center" wrapText="1"/>
    </xf>
    <xf numFmtId="0" fontId="18" fillId="0" borderId="40" xfId="21" applyFont="1" applyFill="1" applyBorder="1" applyAlignment="1">
      <alignment horizontal="justify" vertical="top" wrapText="1"/>
    </xf>
    <xf numFmtId="0" fontId="18" fillId="0" borderId="43" xfId="21" applyFont="1" applyFill="1" applyBorder="1" applyAlignment="1">
      <alignment horizontal="justify" vertical="top" wrapText="1"/>
    </xf>
    <xf numFmtId="0" fontId="18" fillId="0" borderId="41" xfId="21" applyFont="1" applyFill="1" applyBorder="1" applyAlignment="1">
      <alignment horizontal="justify" vertical="top" wrapText="1"/>
    </xf>
    <xf numFmtId="0" fontId="18" fillId="0" borderId="47" xfId="21" applyFont="1" applyFill="1" applyBorder="1" applyAlignment="1">
      <alignment horizontal="justify" vertical="top" wrapText="1"/>
    </xf>
    <xf numFmtId="0" fontId="18" fillId="0" borderId="48" xfId="21" applyFont="1" applyFill="1" applyBorder="1" applyAlignment="1">
      <alignment horizontal="justify" vertical="top" wrapText="1"/>
    </xf>
    <xf numFmtId="0" fontId="18" fillId="0" borderId="12" xfId="21" applyFont="1" applyFill="1" applyBorder="1" applyAlignment="1">
      <alignment horizontal="justify" vertical="top" wrapText="1"/>
    </xf>
    <xf numFmtId="0" fontId="18" fillId="0" borderId="49" xfId="21" applyFont="1" applyFill="1" applyBorder="1" applyAlignment="1">
      <alignment horizontal="justify" vertical="top" wrapText="1"/>
    </xf>
    <xf numFmtId="0" fontId="18" fillId="0" borderId="50" xfId="21" applyFont="1" applyFill="1" applyBorder="1" applyAlignment="1">
      <alignment horizontal="justify" vertical="top" wrapText="1"/>
    </xf>
    <xf numFmtId="0" fontId="18" fillId="0" borderId="11" xfId="21" applyFont="1" applyFill="1" applyBorder="1" applyAlignment="1">
      <alignment horizontal="justify" vertical="top" wrapText="1"/>
    </xf>
    <xf numFmtId="0" fontId="18" fillId="0" borderId="13" xfId="21" applyFont="1" applyFill="1" applyBorder="1" applyAlignment="1">
      <alignment horizontal="justify" vertical="top" wrapText="1"/>
    </xf>
    <xf numFmtId="0" fontId="56" fillId="0" borderId="9" xfId="14" applyFont="1" applyFill="1" applyBorder="1" applyAlignment="1" applyProtection="1">
      <alignment vertical="center"/>
    </xf>
    <xf numFmtId="0" fontId="69" fillId="5" borderId="46" xfId="20" applyFont="1" applyFill="1" applyBorder="1" applyAlignment="1">
      <alignment horizontal="center" wrapText="1"/>
    </xf>
    <xf numFmtId="0" fontId="69" fillId="5" borderId="30" xfId="20" applyFont="1" applyFill="1" applyBorder="1" applyAlignment="1">
      <alignment horizontal="center" wrapText="1"/>
    </xf>
    <xf numFmtId="0" fontId="69" fillId="5" borderId="46" xfId="20" applyFont="1" applyFill="1" applyBorder="1" applyAlignment="1">
      <alignment wrapText="1"/>
    </xf>
    <xf numFmtId="0" fontId="69" fillId="5" borderId="30" xfId="20" applyFont="1" applyFill="1" applyBorder="1" applyAlignment="1">
      <alignment wrapText="1"/>
    </xf>
    <xf numFmtId="0" fontId="35" fillId="0" borderId="46" xfId="20" applyFont="1" applyBorder="1"/>
    <xf numFmtId="0" fontId="35" fillId="0" borderId="30" xfId="20" applyFont="1" applyBorder="1"/>
  </cellXfs>
  <cellStyles count="514">
    <cellStyle name="_x0013_" xfId="328"/>
    <cellStyle name="%" xfId="76"/>
    <cellStyle name="20% - Accent1 2" xfId="92"/>
    <cellStyle name="20% - Accent1 2 2" xfId="239"/>
    <cellStyle name="20% - Accent1 2 2 2" xfId="183"/>
    <cellStyle name="20% - Accent1 2 2 3" xfId="285"/>
    <cellStyle name="20% - Accent1 2 3" xfId="380"/>
    <cellStyle name="20% - Accent2 2" xfId="153"/>
    <cellStyle name="20% - Accent2 2 2" xfId="232"/>
    <cellStyle name="20% - Accent2 2 2 2" xfId="212"/>
    <cellStyle name="20% - Accent2 2 2 3" xfId="57"/>
    <cellStyle name="20% - Accent2 2 3" xfId="381"/>
    <cellStyle name="20% - Accent3 2" xfId="293"/>
    <cellStyle name="20% - Accent3 2 2" xfId="230"/>
    <cellStyle name="20% - Accent3 2 2 2" xfId="190"/>
    <cellStyle name="20% - Accent3 2 2 3" xfId="292"/>
    <cellStyle name="20% - Accent3 2 3" xfId="382"/>
    <cellStyle name="20% - Accent4 2" xfId="240"/>
    <cellStyle name="20% - Accent4 2 2" xfId="194"/>
    <cellStyle name="20% - Accent4 2 2 2" xfId="135"/>
    <cellStyle name="20% - Accent4 2 2 3" xfId="270"/>
    <cellStyle name="20% - Accent4 2 3" xfId="383"/>
    <cellStyle name="20% - Accent5 2" xfId="193"/>
    <cellStyle name="20% - Accent5 2 2" xfId="139"/>
    <cellStyle name="20% - Accent5 2 2 2" xfId="258"/>
    <cellStyle name="20% - Accent5 2 2 3" xfId="115"/>
    <cellStyle name="20% - Accent5 2 3" xfId="384"/>
    <cellStyle name="20% - Accent6 2" xfId="304"/>
    <cellStyle name="20% - Accent6 2 2" xfId="175"/>
    <cellStyle name="20% - Accent6 2 2 2" xfId="286"/>
    <cellStyle name="20% - Accent6 2 2 3" xfId="246"/>
    <cellStyle name="20% - Accent6 2 3" xfId="385"/>
    <cellStyle name="40% - Accent1 2" xfId="287"/>
    <cellStyle name="40% - Accent1 2 2" xfId="279"/>
    <cellStyle name="40% - Accent1 2 2 2" xfId="316"/>
    <cellStyle name="40% - Accent1 2 2 3" xfId="301"/>
    <cellStyle name="40% - Accent1 2 3" xfId="386"/>
    <cellStyle name="40% - Accent2 2" xfId="187"/>
    <cellStyle name="40% - Accent2 2 2" xfId="166"/>
    <cellStyle name="40% - Accent2 2 2 2" xfId="184"/>
    <cellStyle name="40% - Accent2 2 2 3" xfId="309"/>
    <cellStyle name="40% - Accent2 2 3" xfId="387"/>
    <cellStyle name="40% - Accent3 2" xfId="242"/>
    <cellStyle name="40% - Accent3 2 2" xfId="73"/>
    <cellStyle name="40% - Accent3 2 2 2" xfId="66"/>
    <cellStyle name="40% - Accent3 2 2 3" xfId="303"/>
    <cellStyle name="40% - Accent3 2 3" xfId="388"/>
    <cellStyle name="40% - Accent4 2" xfId="276"/>
    <cellStyle name="40% - Accent4 2 2" xfId="201"/>
    <cellStyle name="40% - Accent4 2 2 2" xfId="140"/>
    <cellStyle name="40% - Accent4 2 2 3" xfId="302"/>
    <cellStyle name="40% - Accent4 2 3" xfId="389"/>
    <cellStyle name="40% - Accent5 2" xfId="86"/>
    <cellStyle name="40% - Accent5 2 2" xfId="318"/>
    <cellStyle name="40% - Accent5 2 2 2" xfId="74"/>
    <cellStyle name="40% - Accent5 2 2 3" xfId="99"/>
    <cellStyle name="40% - Accent5 2 3" xfId="390"/>
    <cellStyle name="40% - Accent6 2" xfId="90"/>
    <cellStyle name="40% - Accent6 2 2" xfId="149"/>
    <cellStyle name="40% - Accent6 2 2 2" xfId="181"/>
    <cellStyle name="40% - Accent6 2 2 3" xfId="144"/>
    <cellStyle name="40% - Accent6 2 3" xfId="391"/>
    <cellStyle name="5x indented GHG Textfiels" xfId="252"/>
    <cellStyle name="60% - Accent1 2" xfId="204"/>
    <cellStyle name="60% - Accent1 2 2" xfId="205"/>
    <cellStyle name="60% - Accent1 2 2 2" xfId="235"/>
    <cellStyle name="60% - Accent1 2 2 3" xfId="315"/>
    <cellStyle name="60% - Accent1 2 3" xfId="392"/>
    <cellStyle name="60% - Accent2 2" xfId="253"/>
    <cellStyle name="60% - Accent2 2 2" xfId="162"/>
    <cellStyle name="60% - Accent2 2 2 2" xfId="180"/>
    <cellStyle name="60% - Accent2 2 2 3" xfId="154"/>
    <cellStyle name="60% - Accent2 2 3" xfId="393"/>
    <cellStyle name="60% - Accent3 2" xfId="123"/>
    <cellStyle name="60% - Accent3 2 2" xfId="243"/>
    <cellStyle name="60% - Accent3 2 2 2" xfId="298"/>
    <cellStyle name="60% - Accent3 2 2 3" xfId="128"/>
    <cellStyle name="60% - Accent3 2 3" xfId="394"/>
    <cellStyle name="60% - Accent4 2" xfId="113"/>
    <cellStyle name="60% - Accent4 2 2" xfId="284"/>
    <cellStyle name="60% - Accent4 2 2 2" xfId="116"/>
    <cellStyle name="60% - Accent4 2 2 3" xfId="122"/>
    <cellStyle name="60% - Accent4 2 3" xfId="395"/>
    <cellStyle name="60% - Accent5 2" xfId="257"/>
    <cellStyle name="60% - Accent5 2 2" xfId="101"/>
    <cellStyle name="60% - Accent5 2 2 2" xfId="263"/>
    <cellStyle name="60% - Accent5 2 2 3" xfId="275"/>
    <cellStyle name="60% - Accent5 2 3" xfId="396"/>
    <cellStyle name="60% - Accent6 2" xfId="87"/>
    <cellStyle name="60% - Accent6 2 2" xfId="104"/>
    <cellStyle name="60% - Accent6 2 2 2" xfId="114"/>
    <cellStyle name="60% - Accent6 2 2 3" xfId="64"/>
    <cellStyle name="60% - Accent6 2 3" xfId="397"/>
    <cellStyle name="Accent1 2" xfId="174"/>
    <cellStyle name="Accent1 2 2" xfId="209"/>
    <cellStyle name="Accent1 2 2 2" xfId="262"/>
    <cellStyle name="Accent1 2 2 3" xfId="261"/>
    <cellStyle name="Accent1 2 3" xfId="398"/>
    <cellStyle name="Accent2 2" xfId="227"/>
    <cellStyle name="Accent2 2 2" xfId="141"/>
    <cellStyle name="Accent2 2 2 2" xfId="95"/>
    <cellStyle name="Accent2 2 2 3" xfId="67"/>
    <cellStyle name="Accent2 2 3" xfId="399"/>
    <cellStyle name="Accent3 2" xfId="189"/>
    <cellStyle name="Accent3 2 2" xfId="250"/>
    <cellStyle name="Accent3 2 2 2" xfId="117"/>
    <cellStyle name="Accent3 2 2 3" xfId="179"/>
    <cellStyle name="Accent3 2 3" xfId="400"/>
    <cellStyle name="Accent4 2" xfId="110"/>
    <cellStyle name="Accent4 2 2" xfId="126"/>
    <cellStyle name="Accent4 2 2 2" xfId="249"/>
    <cellStyle name="Accent4 2 2 3" xfId="196"/>
    <cellStyle name="Accent4 2 3" xfId="401"/>
    <cellStyle name="Accent5 2" xfId="61"/>
    <cellStyle name="Accent5 2 2" xfId="161"/>
    <cellStyle name="Accent5 2 2 2" xfId="148"/>
    <cellStyle name="Accent5 2 2 3" xfId="176"/>
    <cellStyle name="Accent5 2 3" xfId="402"/>
    <cellStyle name="Accent6 2" xfId="134"/>
    <cellStyle name="Accent6 2 2" xfId="278"/>
    <cellStyle name="Accent6 2 2 2" xfId="65"/>
    <cellStyle name="Accent6 2 2 3" xfId="297"/>
    <cellStyle name="Accent6 2 3" xfId="403"/>
    <cellStyle name="AggblueCels_1x" xfId="94"/>
    <cellStyle name="Bad 2" xfId="272"/>
    <cellStyle name="Bad 2 2" xfId="203"/>
    <cellStyle name="Bad 2 2 2" xfId="216"/>
    <cellStyle name="Bad 2 2 3" xfId="156"/>
    <cellStyle name="Bad 2 3" xfId="404"/>
    <cellStyle name="Bold GHG Numbers (0.00)" xfId="307"/>
    <cellStyle name="Calculation 2" xfId="188"/>
    <cellStyle name="Calculation 2 2" xfId="199"/>
    <cellStyle name="Calculation 2 2 2" xfId="71"/>
    <cellStyle name="Calculation 2 2 2 2" xfId="306"/>
    <cellStyle name="Calculation 2 2 2 3" xfId="218"/>
    <cellStyle name="Calculation 2 3" xfId="178"/>
    <cellStyle name="Calculation 2 3 2" xfId="132"/>
    <cellStyle name="Calculation 2 3 2 2" xfId="231"/>
    <cellStyle name="Calculation 2 3 2 3" xfId="226"/>
    <cellStyle name="Calculation 2 4" xfId="138"/>
    <cellStyle name="Calculation 2 4 2" xfId="130"/>
    <cellStyle name="Calculation 2 4 3" xfId="160"/>
    <cellStyle name="Calculation 2 5" xfId="405"/>
    <cellStyle name="Changed" xfId="1"/>
    <cellStyle name="Check Cell 2" xfId="170"/>
    <cellStyle name="Check Cell 2 2" xfId="109"/>
    <cellStyle name="Check Cell 2 2 2" xfId="91"/>
    <cellStyle name="Check Cell 2 2 3" xfId="202"/>
    <cellStyle name="Check Cell 2 3" xfId="406"/>
    <cellStyle name="ColHeading" xfId="2"/>
    <cellStyle name="Comma" xfId="32" builtinId="3"/>
    <cellStyle name="Comma 10" xfId="219"/>
    <cellStyle name="Comma 10 2" xfId="465"/>
    <cellStyle name="Comma 11" xfId="320"/>
    <cellStyle name="Comma 11 2" xfId="470"/>
    <cellStyle name="Comma 12" xfId="438"/>
    <cellStyle name="Comma 13" xfId="507"/>
    <cellStyle name="Comma 2" xfId="3"/>
    <cellStyle name="Comma 2 2" xfId="84"/>
    <cellStyle name="Comma 2 2 2" xfId="330"/>
    <cellStyle name="Comma 2 3" xfId="254"/>
    <cellStyle name="Comma 2 3 2" xfId="331"/>
    <cellStyle name="Comma 2 4" xfId="283"/>
    <cellStyle name="Comma 2 4 2" xfId="332"/>
    <cellStyle name="Comma 2 5" xfId="171"/>
    <cellStyle name="Comma 2 6" xfId="323"/>
    <cellStyle name="Comma 2 6 2" xfId="333"/>
    <cellStyle name="Comma 2 7" xfId="329"/>
    <cellStyle name="Comma 2_Menu" xfId="334"/>
    <cellStyle name="Comma 3" xfId="4"/>
    <cellStyle name="Comma 3 2" xfId="294"/>
    <cellStyle name="Comma 3 2 2" xfId="336"/>
    <cellStyle name="Comma 3 2 3" xfId="468"/>
    <cellStyle name="Comma 3 3" xfId="337"/>
    <cellStyle name="Comma 3 4" xfId="338"/>
    <cellStyle name="Comma 3 5" xfId="339"/>
    <cellStyle name="Comma 3 6" xfId="335"/>
    <cellStyle name="Comma 3 7" xfId="407"/>
    <cellStyle name="Comma 3 7 2" xfId="475"/>
    <cellStyle name="Comma 4" xfId="5"/>
    <cellStyle name="Comma 5" xfId="34"/>
    <cellStyle name="Comma 6" xfId="43"/>
    <cellStyle name="Comma 6 2" xfId="440"/>
    <cellStyle name="Comma 7" xfId="47"/>
    <cellStyle name="Comma 7 2" xfId="443"/>
    <cellStyle name="Comma 8" xfId="49"/>
    <cellStyle name="Comma 9" xfId="50"/>
    <cellStyle name="Comma0" xfId="6"/>
    <cellStyle name="Comma0 2" xfId="340"/>
    <cellStyle name="Comma2" xfId="7"/>
    <cellStyle name="Cover" xfId="222"/>
    <cellStyle name="Currency 2" xfId="341"/>
    <cellStyle name="Currency0" xfId="8"/>
    <cellStyle name="Currency2" xfId="9"/>
    <cellStyle name="Date" xfId="10"/>
    <cellStyle name="Dezimal [0]_Tfz-Anzahl" xfId="223"/>
    <cellStyle name="Dezimal_Tfz-Anzahl" xfId="72"/>
    <cellStyle name="Euro" xfId="313"/>
    <cellStyle name="Euro 2" xfId="220"/>
    <cellStyle name="Explanatory Text 2" xfId="45"/>
    <cellStyle name="Explanatory Text 2 2" xfId="105"/>
    <cellStyle name="Fixed" xfId="11"/>
    <cellStyle name="Good 2" xfId="221"/>
    <cellStyle name="Good 2 2" xfId="255"/>
    <cellStyle name="Good 2 2 2" xfId="266"/>
    <cellStyle name="Good 2 2 3" xfId="59"/>
    <cellStyle name="Good 2 3" xfId="409"/>
    <cellStyle name="Guesses" xfId="12"/>
    <cellStyle name="Heading" xfId="13"/>
    <cellStyle name="Heading 1 2" xfId="299"/>
    <cellStyle name="Heading 2 2" xfId="120"/>
    <cellStyle name="Heading 3 2" xfId="81"/>
    <cellStyle name="Heading 4 2" xfId="82"/>
    <cellStyle name="Heading 5" xfId="80"/>
    <cellStyle name="Hyperlink" xfId="14" builtinId="8"/>
    <cellStyle name="Hyperlink 2" xfId="15"/>
    <cellStyle name="Hyperlink 2 2" xfId="41"/>
    <cellStyle name="Hyperlink 3" xfId="36"/>
    <cellStyle name="Hyperlink 3 2" xfId="106"/>
    <cellStyle name="Hyperlink 4" xfId="150"/>
    <cellStyle name="Hyperlink 5" xfId="267"/>
    <cellStyle name="Hyperlink 6" xfId="327"/>
    <cellStyle name="Hyperlink 7" xfId="433"/>
    <cellStyle name="Input 2" xfId="268"/>
    <cellStyle name="Input 2 2" xfId="79"/>
    <cellStyle name="Input 2 2 2" xfId="225"/>
    <cellStyle name="Input 2 2 2 2" xfId="133"/>
    <cellStyle name="Input 2 2 2 3" xfId="211"/>
    <cellStyle name="Input 2 3" xfId="75"/>
    <cellStyle name="Input 2 3 2" xfId="96"/>
    <cellStyle name="Input 2 3 2 2" xfId="169"/>
    <cellStyle name="Input 2 3 2 3" xfId="62"/>
    <cellStyle name="Input 2 4" xfId="145"/>
    <cellStyle name="Input 2 4 2" xfId="291"/>
    <cellStyle name="Input 2 4 3" xfId="70"/>
    <cellStyle name="Input 2 5" xfId="410"/>
    <cellStyle name="InputCells12_BBorder 2" xfId="16"/>
    <cellStyle name="Linked Cell 2" xfId="234"/>
    <cellStyle name="Menu" xfId="314"/>
    <cellStyle name="Milliers [0]_03tabmat" xfId="311"/>
    <cellStyle name="Milliers_03tabmat" xfId="157"/>
    <cellStyle name="Monétaire [0]_03tabmat" xfId="68"/>
    <cellStyle name="Monétaire_03tabmat" xfId="85"/>
    <cellStyle name="N+(X)" xfId="17"/>
    <cellStyle name="Neutral 2" xfId="107"/>
    <cellStyle name="Neutral 2 2" xfId="129"/>
    <cellStyle name="Neutral 2 2 2" xfId="137"/>
    <cellStyle name="Neutral 2 2 3" xfId="310"/>
    <cellStyle name="Neutral 2 3" xfId="411"/>
    <cellStyle name="Normal" xfId="0" builtinId="0"/>
    <cellStyle name="Normal 10" xfId="52"/>
    <cellStyle name="Normal 10 2" xfId="173"/>
    <cellStyle name="Normal 10 2 2" xfId="186"/>
    <cellStyle name="Normal 10 2 2 2" xfId="419"/>
    <cellStyle name="Normal 10 2 2 2 2" xfId="482"/>
    <cellStyle name="Normal 10 2 2 3" xfId="460"/>
    <cellStyle name="Normal 10 2 3" xfId="422"/>
    <cellStyle name="Normal 10 2 3 2" xfId="485"/>
    <cellStyle name="Normal 10 2 4" xfId="458"/>
    <cellStyle name="Normal 10 3" xfId="97"/>
    <cellStyle name="Normal 10 3 2" xfId="195"/>
    <cellStyle name="Normal 10 3 2 2" xfId="421"/>
    <cellStyle name="Normal 10 3 2 2 2" xfId="484"/>
    <cellStyle name="Normal 10 3 2 3" xfId="461"/>
    <cellStyle name="Normal 10 3 3" xfId="429"/>
    <cellStyle name="Normal 10 3 3 2" xfId="492"/>
    <cellStyle name="Normal 10 3 4" xfId="452"/>
    <cellStyle name="Normal 10 4" xfId="163"/>
    <cellStyle name="Normal 10 4 2" xfId="408"/>
    <cellStyle name="Normal 10 4 2 2" xfId="476"/>
    <cellStyle name="Normal 10 4 3" xfId="456"/>
    <cellStyle name="Normal 10 5" xfId="131"/>
    <cellStyle name="Normal 10 5 2" xfId="455"/>
    <cellStyle name="Normal 10 6" xfId="325"/>
    <cellStyle name="Normal 10 7" xfId="412"/>
    <cellStyle name="Normal 10 7 2" xfId="477"/>
    <cellStyle name="Normal 11" xfId="53"/>
    <cellStyle name="Normal 11 2" xfId="18"/>
    <cellStyle name="Normal 11 3" xfId="446"/>
    <cellStyle name="Normal 12" xfId="54"/>
    <cellStyle name="Normal 12 2" xfId="124"/>
    <cellStyle name="Normal 12 3" xfId="447"/>
    <cellStyle name="Normal 13" xfId="241"/>
    <cellStyle name="Normal 13 2" xfId="214"/>
    <cellStyle name="Normal 13 2 2" xfId="413"/>
    <cellStyle name="Normal 13 2 2 2" xfId="478"/>
    <cellStyle name="Normal 13 2 3" xfId="463"/>
    <cellStyle name="Normal 13 3" xfId="121"/>
    <cellStyle name="Normal 13 3 2" xfId="427"/>
    <cellStyle name="Normal 13 3 2 2" xfId="490"/>
    <cellStyle name="Normal 13 3 3" xfId="454"/>
    <cellStyle name="Normal 13 4" xfId="379"/>
    <cellStyle name="Normal 14" xfId="111"/>
    <cellStyle name="Normal 14 2" xfId="424"/>
    <cellStyle name="Normal 14 2 2" xfId="487"/>
    <cellStyle name="Normal 14 3" xfId="453"/>
    <cellStyle name="Normal 15" xfId="215"/>
    <cellStyle name="Normal 15 2" xfId="420"/>
    <cellStyle name="Normal 15 2 2" xfId="483"/>
    <cellStyle name="Normal 15 3" xfId="464"/>
    <cellStyle name="Normal 16" xfId="55"/>
    <cellStyle name="Normal 16 2" xfId="448"/>
    <cellStyle name="Normal 17" xfId="319"/>
    <cellStyle name="Normal 17 2" xfId="469"/>
    <cellStyle name="Normal 18" xfId="322"/>
    <cellStyle name="Normal 18 2" xfId="472"/>
    <cellStyle name="Normal 19" xfId="373"/>
    <cellStyle name="Normal 19 2" xfId="473"/>
    <cellStyle name="Normal 2" xfId="19"/>
    <cellStyle name="Normal 2 10" xfId="377"/>
    <cellStyle name="Normal 2 2" xfId="20"/>
    <cellStyle name="Normal 2 2 2" xfId="343"/>
    <cellStyle name="Normal 2 2 3" xfId="344"/>
    <cellStyle name="Normal 2 2 4" xfId="345"/>
    <cellStyle name="Normal 2 2 5" xfId="342"/>
    <cellStyle name="Normal 2 2_EDB010" xfId="346"/>
    <cellStyle name="Normal 2 3" xfId="37"/>
    <cellStyle name="Normal 2 3 2" xfId="238"/>
    <cellStyle name="Normal 2 3 3" xfId="347"/>
    <cellStyle name="Normal 2 4" xfId="348"/>
    <cellStyle name="Normal 2 5" xfId="349"/>
    <cellStyle name="Normal 2 6" xfId="350"/>
    <cellStyle name="Normal 2 7" xfId="374"/>
    <cellStyle name="Normal 2 8" xfId="375"/>
    <cellStyle name="Normal 2 9" xfId="376"/>
    <cellStyle name="Normal 2_Menu" xfId="351"/>
    <cellStyle name="Normal 20" xfId="378"/>
    <cellStyle name="Normal 20 2" xfId="474"/>
    <cellStyle name="Normal 21" xfId="432"/>
    <cellStyle name="Normal 22" xfId="431"/>
    <cellStyle name="Normal 23" xfId="494"/>
    <cellStyle name="Normal 24" xfId="506"/>
    <cellStyle name="Normal 25" xfId="496"/>
    <cellStyle name="Normal 26" xfId="504"/>
    <cellStyle name="Normal 27" xfId="512"/>
    <cellStyle name="Normal 28" xfId="497"/>
    <cellStyle name="Normal 29" xfId="499"/>
    <cellStyle name="Normal 3" xfId="21"/>
    <cellStyle name="Normal 3 2" xfId="35"/>
    <cellStyle name="Normal 3 2 2" xfId="352"/>
    <cellStyle name="Normal 3 3" xfId="42"/>
    <cellStyle name="Normal 3 3 2" xfId="274"/>
    <cellStyle name="Normal 3 3 3" xfId="353"/>
    <cellStyle name="Normal 3 4" xfId="182"/>
    <cellStyle name="Normal 3 5" xfId="326"/>
    <cellStyle name="Normal 30" xfId="502"/>
    <cellStyle name="Normal 31" xfId="510"/>
    <cellStyle name="Normal 32" xfId="511"/>
    <cellStyle name="Normal 33" xfId="495"/>
    <cellStyle name="Normal 34" xfId="500"/>
    <cellStyle name="Normal 35" xfId="513"/>
    <cellStyle name="Normal 36" xfId="503"/>
    <cellStyle name="Normal 37" xfId="498"/>
    <cellStyle name="Normal 38" xfId="505"/>
    <cellStyle name="Normal 39" xfId="509"/>
    <cellStyle name="Normal 4" xfId="22"/>
    <cellStyle name="Normal 4 2" xfId="38"/>
    <cellStyle name="Normal 4 2 2" xfId="185"/>
    <cellStyle name="Normal 4 2 2 2" xfId="356"/>
    <cellStyle name="Normal 4 2 2 3" xfId="417"/>
    <cellStyle name="Normal 4 2 2 3 2" xfId="480"/>
    <cellStyle name="Normal 4 2 2 4" xfId="459"/>
    <cellStyle name="Normal 4 2 3" xfId="273"/>
    <cellStyle name="Normal 4 2 3 2" xfId="467"/>
    <cellStyle name="Normal 4 2 4" xfId="355"/>
    <cellStyle name="Normal 4 2 5" xfId="423"/>
    <cellStyle name="Normal 4 2 5 2" xfId="486"/>
    <cellStyle name="Normal 4 3" xfId="58"/>
    <cellStyle name="Normal 4 3 2" xfId="69"/>
    <cellStyle name="Normal 4 3 2 2" xfId="430"/>
    <cellStyle name="Normal 4 3 2 2 2" xfId="493"/>
    <cellStyle name="Normal 4 3 2 3" xfId="451"/>
    <cellStyle name="Normal 4 3 3" xfId="416"/>
    <cellStyle name="Normal 4 3 3 2" xfId="479"/>
    <cellStyle name="Normal 4 3 4" xfId="449"/>
    <cellStyle name="Normal 4 4" xfId="167"/>
    <cellStyle name="Normal 4 4 2" xfId="426"/>
    <cellStyle name="Normal 4 4 2 2" xfId="489"/>
    <cellStyle name="Normal 4 4 3" xfId="457"/>
    <cellStyle name="Normal 4 5" xfId="200"/>
    <cellStyle name="Normal 4 5 2" xfId="428"/>
    <cellStyle name="Normal 4 5 2 2" xfId="491"/>
    <cellStyle name="Normal 4 5 3" xfId="462"/>
    <cellStyle name="Normal 4 6" xfId="198"/>
    <cellStyle name="Normal 4 7" xfId="354"/>
    <cellStyle name="Normal 4 8" xfId="434"/>
    <cellStyle name="Normal 40" xfId="501"/>
    <cellStyle name="Normal 5" xfId="23"/>
    <cellStyle name="Normal 5 2" xfId="60"/>
    <cellStyle name="Normal 5 3" xfId="357"/>
    <cellStyle name="Normal 5 4" xfId="435"/>
    <cellStyle name="Normal 6" xfId="24"/>
    <cellStyle name="Normal 6 2" xfId="78"/>
    <cellStyle name="Normal 6 2 2" xfId="359"/>
    <cellStyle name="Normal 6 3" xfId="358"/>
    <cellStyle name="Normal 6 4" xfId="436"/>
    <cellStyle name="Normal 7" xfId="33"/>
    <cellStyle name="Normal 7 2" xfId="361"/>
    <cellStyle name="Normal 7 3" xfId="362"/>
    <cellStyle name="Normal 7 4" xfId="363"/>
    <cellStyle name="Normal 7 5" xfId="360"/>
    <cellStyle name="Normal 8" xfId="40"/>
    <cellStyle name="Normal 8 2" xfId="207"/>
    <cellStyle name="Normal 8 3" xfId="364"/>
    <cellStyle name="Normal 8 4" xfId="439"/>
    <cellStyle name="Normal 9" xfId="46"/>
    <cellStyle name="Normal 9 2" xfId="282"/>
    <cellStyle name="Normal 9 3" xfId="442"/>
    <cellStyle name="Normal GHG-Shade" xfId="271"/>
    <cellStyle name="Note 2" xfId="172"/>
    <cellStyle name="Note 2 2" xfId="146"/>
    <cellStyle name="Note 2 2 2" xfId="77"/>
    <cellStyle name="Note 2 2 2 2" xfId="177"/>
    <cellStyle name="Note 2 2 2 3" xfId="136"/>
    <cellStyle name="Note 2 3" xfId="305"/>
    <cellStyle name="Note 2 3 2" xfId="192"/>
    <cellStyle name="Note 2 3 3" xfId="98"/>
    <cellStyle name="Note 2 4" xfId="414"/>
    <cellStyle name="Output 2" xfId="151"/>
    <cellStyle name="Output 2 2" xfId="213"/>
    <cellStyle name="Output 2 2 2" xfId="119"/>
    <cellStyle name="Output 2 2 2 2" xfId="245"/>
    <cellStyle name="Output 2 2 2 3" xfId="88"/>
    <cellStyle name="Output 2 3" xfId="164"/>
    <cellStyle name="Output 2 3 2" xfId="265"/>
    <cellStyle name="Output 2 3 3" xfId="280"/>
    <cellStyle name="Output 2 4" xfId="415"/>
    <cellStyle name="Percent" xfId="51" builtinId="5"/>
    <cellStyle name="Percent 10" xfId="289"/>
    <cellStyle name="Percent 10 2" xfId="269"/>
    <cellStyle name="Percent 10 2 2" xfId="418"/>
    <cellStyle name="Percent 10 2 2 2" xfId="481"/>
    <cellStyle name="Percent 10 2 3" xfId="466"/>
    <cellStyle name="Percent 10 3" xfId="63"/>
    <cellStyle name="Percent 10 3 2" xfId="425"/>
    <cellStyle name="Percent 10 3 2 2" xfId="488"/>
    <cellStyle name="Percent 10 3 3" xfId="450"/>
    <cellStyle name="Percent 11" xfId="321"/>
    <cellStyle name="Percent 11 2" xfId="471"/>
    <cellStyle name="Percent 12" xfId="445"/>
    <cellStyle name="Percent 13" xfId="508"/>
    <cellStyle name="Percent 2" xfId="25"/>
    <cellStyle name="Percent 2 2" xfId="228"/>
    <cellStyle name="Percent 2 2 2" xfId="366"/>
    <cellStyle name="Percent 2 3" xfId="125"/>
    <cellStyle name="Percent 2 3 2" xfId="367"/>
    <cellStyle name="Percent 2 4" xfId="324"/>
    <cellStyle name="Percent 2 4 2" xfId="368"/>
    <cellStyle name="Percent 2 5" xfId="369"/>
    <cellStyle name="Percent 2 6" xfId="370"/>
    <cellStyle name="Percent 2 7" xfId="365"/>
    <cellStyle name="Percent 3" xfId="26"/>
    <cellStyle name="Percent 3 2" xfId="244"/>
    <cellStyle name="Percent 3 3" xfId="371"/>
    <cellStyle name="Percent 3 4" xfId="437"/>
    <cellStyle name="Percent 4" xfId="39"/>
    <cellStyle name="Percent 5" xfId="44"/>
    <cellStyle name="Percent 5 2" xfId="118"/>
    <cellStyle name="Percent 5 3" xfId="103"/>
    <cellStyle name="Percent 5 4" xfId="441"/>
    <cellStyle name="Percent 6" xfId="48"/>
    <cellStyle name="Percent 6 2" xfId="197"/>
    <cellStyle name="Percent 6 3" xfId="444"/>
    <cellStyle name="Percent 7" xfId="260"/>
    <cellStyle name="Percent 8" xfId="206"/>
    <cellStyle name="Percent 9" xfId="248"/>
    <cellStyle name="Percent2" xfId="27"/>
    <cellStyle name="Publication_style" xfId="191"/>
    <cellStyle name="Refdb standard" xfId="93"/>
    <cellStyle name="Refdb standard 2" xfId="295"/>
    <cellStyle name="Shade" xfId="256"/>
    <cellStyle name="Shade 2" xfId="281"/>
    <cellStyle name="Shade 3" xfId="210"/>
    <cellStyle name="Source" xfId="259"/>
    <cellStyle name="Source Hed" xfId="155"/>
    <cellStyle name="Source Text" xfId="290"/>
    <cellStyle name="Standard_E00seit45" xfId="100"/>
    <cellStyle name="Style 1" xfId="28"/>
    <cellStyle name="Style 1 2" xfId="372"/>
    <cellStyle name="Style 21" xfId="233"/>
    <cellStyle name="Style 21 2" xfId="236"/>
    <cellStyle name="Style 22" xfId="158"/>
    <cellStyle name="Style 22 2" xfId="108"/>
    <cellStyle name="Style 23" xfId="264"/>
    <cellStyle name="Style 23 2" xfId="237"/>
    <cellStyle name="Style 24" xfId="143"/>
    <cellStyle name="Style 24 2" xfId="224"/>
    <cellStyle name="Style 29" xfId="89"/>
    <cellStyle name="Style 29 2" xfId="168"/>
    <cellStyle name="Style 30" xfId="317"/>
    <cellStyle name="Style 30 2" xfId="56"/>
    <cellStyle name="Style 31" xfId="147"/>
    <cellStyle name="Style 31 2" xfId="83"/>
    <cellStyle name="Style 32" xfId="251"/>
    <cellStyle name="Style 32 2" xfId="102"/>
    <cellStyle name="Sub Total" xfId="29"/>
    <cellStyle name="Table Heading" xfId="30"/>
    <cellStyle name="Title 2" xfId="229"/>
    <cellStyle name="Title-1" xfId="152"/>
    <cellStyle name="Title-2" xfId="217"/>
    <cellStyle name="Titre ligne" xfId="159"/>
    <cellStyle name="Total 2" xfId="300"/>
    <cellStyle name="Total 2 2" xfId="142"/>
    <cellStyle name="Total intermediaire" xfId="165"/>
    <cellStyle name="Tusenskille [0]_rob4-mon.xls Diagram 1" xfId="312"/>
    <cellStyle name="Tusenskille_rob4-mon.xls Diagram 1" xfId="208"/>
    <cellStyle name="Valuta [0]_rob4-mon.xls Diagram 1" xfId="277"/>
    <cellStyle name="Valuta_rob4-mon.xls Diagram 1" xfId="288"/>
    <cellStyle name="Währung [0]_Excel2" xfId="296"/>
    <cellStyle name="Währung_Excel2" xfId="308"/>
    <cellStyle name="Warning Text 2" xfId="127"/>
    <cellStyle name="Year" xfId="31"/>
    <cellStyle name="Year 2" xfId="112"/>
    <cellStyle name="Обычный_2++_CRFReport-template" xfId="247"/>
  </cellStyles>
  <dxfs count="0"/>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1.xml.rels><?xml version="1.0" encoding="UTF-8" standalone="yes"?>
<Relationships xmlns="http://schemas.openxmlformats.org/package/2006/relationships"><Relationship Id="rId1" Type="http://schemas.openxmlformats.org/officeDocument/2006/relationships/hyperlink" Target="http://www.transport.govt.nz/research/newzealandvehiclefleetstatistics/" TargetMode="External"/></Relationships>
</file>

<file path=xl/drawings/_rels/drawing6.xml.rels><?xml version="1.0" encoding="UTF-8" standalone="yes"?>
<Relationships xmlns="http://schemas.openxmlformats.org/package/2006/relationships"><Relationship Id="rId2" Type="http://schemas.openxmlformats.org/officeDocument/2006/relationships/hyperlink" Target="http://www.med.govt.nz/sectors-industries/energy/energy-modelling/publications/energy-in-new-zealand-2013" TargetMode="External"/><Relationship Id="rId1" Type="http://schemas.openxmlformats.org/officeDocument/2006/relationships/hyperlink" Target="http://www.med.govt.nz/sectors-industries/energy/energy-modelling/publications/energy-greenhouse-gas-emissions" TargetMode="External"/></Relationships>
</file>

<file path=xl/drawings/_rels/drawing7.xml.rels><?xml version="1.0" encoding="UTF-8" standalone="yes"?>
<Relationships xmlns="http://schemas.openxmlformats.org/package/2006/relationships"><Relationship Id="rId2" Type="http://schemas.openxmlformats.org/officeDocument/2006/relationships/hyperlink" Target="http://www.med.govt.nz/sectors-industries/energy/energy-modelling/publications/energy-in-new-zealand-2013" TargetMode="External"/><Relationship Id="rId1" Type="http://schemas.openxmlformats.org/officeDocument/2006/relationships/hyperlink" Target="http://www.med.govt.nz/sectors-industries/energy/energy-modelling/publications/energy-greenhouse-gas-emissions" TargetMode="External"/></Relationships>
</file>

<file path=xl/drawings/_rels/drawing9.xml.rels><?xml version="1.0" encoding="UTF-8" standalone="yes"?>
<Relationships xmlns="http://schemas.openxmlformats.org/package/2006/relationships"><Relationship Id="rId2" Type="http://schemas.openxmlformats.org/officeDocument/2006/relationships/hyperlink" Target="http://www.ukconversionfactorscarbonsmart.co.uk/" TargetMode="External"/><Relationship Id="rId1" Type="http://schemas.openxmlformats.org/officeDocument/2006/relationships/hyperlink" Target="https://www.gov.uk/government/publications/green-house-gas-conversion-factors-for-company-reporting-2013-methodology-paper-for-emission-factors" TargetMode="External"/></Relationships>
</file>

<file path=xl/drawings/drawing1.xml><?xml version="1.0" encoding="utf-8"?>
<xdr:wsDr xmlns:xdr="http://schemas.openxmlformats.org/drawingml/2006/spreadsheetDrawing" xmlns:a="http://schemas.openxmlformats.org/drawingml/2006/main">
  <xdr:twoCellAnchor>
    <xdr:from>
      <xdr:col>10</xdr:col>
      <xdr:colOff>26194</xdr:colOff>
      <xdr:row>7</xdr:row>
      <xdr:rowOff>9786</xdr:rowOff>
    </xdr:from>
    <xdr:to>
      <xdr:col>15</xdr:col>
      <xdr:colOff>373328</xdr:colOff>
      <xdr:row>13</xdr:row>
      <xdr:rowOff>63762</xdr:rowOff>
    </xdr:to>
    <xdr:sp macro="" textlink="">
      <xdr:nvSpPr>
        <xdr:cNvPr id="2" name="TextBox 1"/>
        <xdr:cNvSpPr txBox="1"/>
      </xdr:nvSpPr>
      <xdr:spPr>
        <a:xfrm>
          <a:off x="11202194" y="1629036"/>
          <a:ext cx="4178301" cy="100647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NZ" sz="1100" b="1" u="sng">
              <a:latin typeface="Arial" pitchFamily="34" charset="0"/>
              <a:cs typeface="Arial" pitchFamily="34" charset="0"/>
            </a:rPr>
            <a:t>Source: </a:t>
          </a:r>
          <a:endParaRPr lang="en-NZ" sz="1100" b="1">
            <a:latin typeface="Arial" pitchFamily="34" charset="0"/>
            <a:cs typeface="Arial" pitchFamily="34" charset="0"/>
          </a:endParaRPr>
        </a:p>
        <a:p>
          <a:endParaRPr lang="en-NZ" sz="1100">
            <a:latin typeface="Arial" pitchFamily="34" charset="0"/>
            <a:cs typeface="Arial"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lang="en-NZ" sz="1100" baseline="0">
              <a:solidFill>
                <a:schemeClr val="dk1"/>
              </a:solidFill>
              <a:latin typeface="Arial" pitchFamily="34" charset="0"/>
              <a:ea typeface="+mn-ea"/>
              <a:cs typeface="Arial" pitchFamily="34" charset="0"/>
            </a:rPr>
            <a:t>Energy Information and Modelling Group </a:t>
          </a:r>
          <a:endParaRPr lang="en-NZ" sz="1100">
            <a:solidFill>
              <a:schemeClr val="dk1"/>
            </a:solidFill>
            <a:latin typeface="Arial" pitchFamily="34" charset="0"/>
            <a:ea typeface="+mn-ea"/>
            <a:cs typeface="Arial" pitchFamily="34" charset="0"/>
          </a:endParaRPr>
        </a:p>
        <a:p>
          <a:r>
            <a:rPr lang="en-NZ" sz="1100">
              <a:latin typeface="Arial" pitchFamily="34" charset="0"/>
              <a:cs typeface="Arial" pitchFamily="34" charset="0"/>
            </a:rPr>
            <a:t>Ministry of  Business, Innovation and Employment</a:t>
          </a:r>
        </a:p>
        <a:p>
          <a:endParaRPr lang="en-NZ" sz="1100"/>
        </a:p>
        <a:p>
          <a:endParaRPr lang="en-NZ" sz="1100"/>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7</xdr:col>
      <xdr:colOff>1</xdr:colOff>
      <xdr:row>10</xdr:row>
      <xdr:rowOff>1</xdr:rowOff>
    </xdr:from>
    <xdr:to>
      <xdr:col>12</xdr:col>
      <xdr:colOff>397669</xdr:colOff>
      <xdr:row>24</xdr:row>
      <xdr:rowOff>9525</xdr:rowOff>
    </xdr:to>
    <xdr:sp macro="" textlink="">
      <xdr:nvSpPr>
        <xdr:cNvPr id="2" name="TextBox 1"/>
        <xdr:cNvSpPr txBox="1"/>
      </xdr:nvSpPr>
      <xdr:spPr>
        <a:xfrm>
          <a:off x="9298782" y="2202657"/>
          <a:ext cx="8648700" cy="3557587"/>
        </a:xfrm>
        <a:prstGeom prst="rect">
          <a:avLst/>
        </a:prstGeom>
        <a:solidFill>
          <a:schemeClr val="bg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NZ" sz="1100" b="1">
              <a:solidFill>
                <a:schemeClr val="dk1"/>
              </a:solidFill>
              <a:latin typeface="+mn-lt"/>
              <a:ea typeface="+mn-ea"/>
              <a:cs typeface="+mn-cs"/>
            </a:rPr>
            <a:t>Base equation</a:t>
          </a:r>
        </a:p>
        <a:p>
          <a:r>
            <a:rPr lang="en-NZ" sz="1100">
              <a:solidFill>
                <a:schemeClr val="dk1"/>
              </a:solidFill>
              <a:latin typeface="+mn-lt"/>
              <a:ea typeface="+mn-ea"/>
              <a:cs typeface="+mn-cs"/>
            </a:rPr>
            <a:t>The base equation used in deriving the waste emission factors, as taken from the 1996 </a:t>
          </a:r>
          <a:r>
            <a:rPr lang="en-NZ" sz="1100" i="1">
              <a:solidFill>
                <a:schemeClr val="dk1"/>
              </a:solidFill>
              <a:latin typeface="+mn-lt"/>
              <a:ea typeface="+mn-ea"/>
              <a:cs typeface="+mn-cs"/>
            </a:rPr>
            <a:t>IPCC Good Practice Guidelines</a:t>
          </a:r>
          <a:r>
            <a:rPr lang="en-NZ" sz="1100">
              <a:solidFill>
                <a:schemeClr val="dk1"/>
              </a:solidFill>
              <a:latin typeface="+mn-lt"/>
              <a:ea typeface="+mn-ea"/>
              <a:cs typeface="+mn-cs"/>
            </a:rPr>
            <a:t>, is as follows:</a:t>
          </a:r>
        </a:p>
        <a:p>
          <a:r>
            <a:rPr lang="en-NZ" sz="1100">
              <a:solidFill>
                <a:schemeClr val="dk1"/>
              </a:solidFill>
              <a:latin typeface="+mn-lt"/>
              <a:ea typeface="+mn-ea"/>
              <a:cs typeface="+mn-cs"/>
            </a:rPr>
            <a:t> </a:t>
          </a:r>
        </a:p>
        <a:p>
          <a:r>
            <a:rPr lang="en-NZ" sz="1100">
              <a:solidFill>
                <a:schemeClr val="dk1"/>
              </a:solidFill>
              <a:latin typeface="+mn-lt"/>
              <a:ea typeface="+mn-ea"/>
              <a:cs typeface="+mn-cs"/>
            </a:rPr>
            <a:t>CO</a:t>
          </a:r>
          <a:r>
            <a:rPr lang="en-NZ" sz="1100" baseline="-25000">
              <a:solidFill>
                <a:schemeClr val="dk1"/>
              </a:solidFill>
              <a:latin typeface="+mn-lt"/>
              <a:ea typeface="+mn-ea"/>
              <a:cs typeface="+mn-cs"/>
            </a:rPr>
            <a:t>2</a:t>
          </a:r>
          <a:r>
            <a:rPr lang="en-NZ" sz="1100">
              <a:solidFill>
                <a:schemeClr val="dk1"/>
              </a:solidFill>
              <a:latin typeface="+mn-lt"/>
              <a:ea typeface="+mn-ea"/>
              <a:cs typeface="+mn-cs"/>
            </a:rPr>
            <a:t>-e emissions (kg) = ((MSW</a:t>
          </a:r>
          <a:r>
            <a:rPr lang="en-NZ" sz="1100" baseline="-25000">
              <a:solidFill>
                <a:schemeClr val="dk1"/>
              </a:solidFill>
              <a:latin typeface="+mn-lt"/>
              <a:ea typeface="+mn-ea"/>
              <a:cs typeface="+mn-cs"/>
            </a:rPr>
            <a:t>T</a:t>
          </a:r>
          <a:r>
            <a:rPr lang="en-NZ" sz="1100">
              <a:solidFill>
                <a:schemeClr val="dk1"/>
              </a:solidFill>
              <a:latin typeface="+mn-lt"/>
              <a:ea typeface="+mn-ea"/>
              <a:cs typeface="+mn-cs"/>
            </a:rPr>
            <a:t> x DOC x DOC</a:t>
          </a:r>
          <a:r>
            <a:rPr lang="en-NZ" sz="1100" baseline="-25000">
              <a:solidFill>
                <a:schemeClr val="dk1"/>
              </a:solidFill>
              <a:latin typeface="+mn-lt"/>
              <a:ea typeface="+mn-ea"/>
              <a:cs typeface="+mn-cs"/>
            </a:rPr>
            <a:t>F</a:t>
          </a:r>
          <a:r>
            <a:rPr lang="en-NZ" sz="1100">
              <a:solidFill>
                <a:schemeClr val="dk1"/>
              </a:solidFill>
              <a:latin typeface="+mn-lt"/>
              <a:ea typeface="+mn-ea"/>
              <a:cs typeface="+mn-cs"/>
            </a:rPr>
            <a:t> x F x 16/12) x (1– R) x (1-OX)) x 21</a:t>
          </a:r>
        </a:p>
        <a:p>
          <a:endParaRPr lang="en-NZ" sz="1100">
            <a:solidFill>
              <a:schemeClr val="dk1"/>
            </a:solidFill>
            <a:latin typeface="+mn-lt"/>
            <a:ea typeface="+mn-ea"/>
            <a:cs typeface="+mn-cs"/>
          </a:endParaRPr>
        </a:p>
        <a:p>
          <a:r>
            <a:rPr lang="en-NZ" sz="1100">
              <a:solidFill>
                <a:schemeClr val="dk1"/>
              </a:solidFill>
              <a:latin typeface="+mn-lt"/>
              <a:ea typeface="+mn-ea"/>
              <a:cs typeface="+mn-cs"/>
            </a:rPr>
            <a:t>Where:	MSWT = total Municipal Solid Waste (MSW) generated (kg); DOC = degradable organic carbon; DOCF = fraction of DOC dissimilated; F = fraction of CH</a:t>
          </a:r>
          <a:r>
            <a:rPr lang="en-NZ" sz="1100" baseline="-25000">
              <a:solidFill>
                <a:schemeClr val="dk1"/>
              </a:solidFill>
              <a:latin typeface="+mn-lt"/>
              <a:ea typeface="+mn-ea"/>
              <a:cs typeface="+mn-cs"/>
            </a:rPr>
            <a:t>4</a:t>
          </a:r>
          <a:r>
            <a:rPr lang="en-NZ" sz="1100">
              <a:solidFill>
                <a:schemeClr val="dk1"/>
              </a:solidFill>
              <a:latin typeface="+mn-lt"/>
              <a:ea typeface="+mn-ea"/>
              <a:cs typeface="+mn-cs"/>
            </a:rPr>
            <a:t> in landfill gas; R = fraction recovered CH</a:t>
          </a:r>
          <a:r>
            <a:rPr lang="en-NZ" sz="1100" baseline="-25000">
              <a:solidFill>
                <a:schemeClr val="dk1"/>
              </a:solidFill>
              <a:latin typeface="+mn-lt"/>
              <a:ea typeface="+mn-ea"/>
              <a:cs typeface="+mn-cs"/>
            </a:rPr>
            <a:t>4</a:t>
          </a:r>
          <a:r>
            <a:rPr lang="en-NZ" sz="1100">
              <a:solidFill>
                <a:schemeClr val="dk1"/>
              </a:solidFill>
              <a:latin typeface="+mn-lt"/>
              <a:ea typeface="+mn-ea"/>
              <a:cs typeface="+mn-cs"/>
            </a:rPr>
            <a:t>; OX = oxidation factor; 21 = GWP of methane (CH</a:t>
          </a:r>
          <a:r>
            <a:rPr lang="en-NZ" sz="1100" baseline="-25000">
              <a:solidFill>
                <a:schemeClr val="dk1"/>
              </a:solidFill>
              <a:latin typeface="+mn-lt"/>
              <a:ea typeface="+mn-ea"/>
              <a:cs typeface="+mn-cs"/>
            </a:rPr>
            <a:t>4</a:t>
          </a:r>
          <a:r>
            <a:rPr lang="en-NZ" sz="1100">
              <a:solidFill>
                <a:schemeClr val="dk1"/>
              </a:solidFill>
              <a:latin typeface="+mn-lt"/>
              <a:ea typeface="+mn-ea"/>
              <a:cs typeface="+mn-cs"/>
            </a:rPr>
            <a:t>).</a:t>
          </a:r>
        </a:p>
        <a:p>
          <a:r>
            <a:rPr lang="en-NZ" sz="1100">
              <a:solidFill>
                <a:schemeClr val="dk1"/>
              </a:solidFill>
              <a:latin typeface="+mn-lt"/>
              <a:ea typeface="+mn-ea"/>
              <a:cs typeface="+mn-cs"/>
            </a:rPr>
            <a:t> </a:t>
          </a:r>
        </a:p>
        <a:p>
          <a:r>
            <a:rPr lang="en-NZ" sz="1100">
              <a:solidFill>
                <a:schemeClr val="dk1"/>
              </a:solidFill>
              <a:latin typeface="+mn-lt"/>
              <a:ea typeface="+mn-ea"/>
              <a:cs typeface="+mn-cs"/>
            </a:rPr>
            <a:t>MSW</a:t>
          </a:r>
          <a:r>
            <a:rPr lang="en-NZ" sz="1100" baseline="-25000">
              <a:solidFill>
                <a:schemeClr val="dk1"/>
              </a:solidFill>
              <a:latin typeface="+mn-lt"/>
              <a:ea typeface="+mn-ea"/>
              <a:cs typeface="+mn-cs"/>
            </a:rPr>
            <a:t>T</a:t>
          </a:r>
          <a:r>
            <a:rPr lang="en-NZ" sz="1100">
              <a:solidFill>
                <a:schemeClr val="dk1"/>
              </a:solidFill>
              <a:latin typeface="+mn-lt"/>
              <a:ea typeface="+mn-ea"/>
              <a:cs typeface="+mn-cs"/>
            </a:rPr>
            <a:t>	=	Activity data</a:t>
          </a:r>
        </a:p>
        <a:p>
          <a:r>
            <a:rPr lang="en-NZ" sz="1100">
              <a:solidFill>
                <a:schemeClr val="dk1"/>
              </a:solidFill>
              <a:latin typeface="+mn-lt"/>
              <a:ea typeface="+mn-ea"/>
              <a:cs typeface="+mn-cs"/>
            </a:rPr>
            <a:t>DOC	=	0.4 for paper and textiles, 0.15 for garden and food waste, and 0.3 for wood</a:t>
          </a:r>
        </a:p>
        <a:p>
          <a:r>
            <a:rPr lang="en-NZ" sz="1100">
              <a:solidFill>
                <a:schemeClr val="dk1"/>
              </a:solidFill>
              <a:latin typeface="+mn-lt"/>
              <a:ea typeface="+mn-ea"/>
              <a:cs typeface="+mn-cs"/>
            </a:rPr>
            <a:t>DOC</a:t>
          </a:r>
          <a:r>
            <a:rPr lang="en-NZ" sz="1100" baseline="-25000">
              <a:solidFill>
                <a:schemeClr val="dk1"/>
              </a:solidFill>
              <a:latin typeface="+mn-lt"/>
              <a:ea typeface="+mn-ea"/>
              <a:cs typeface="+mn-cs"/>
            </a:rPr>
            <a:t>F</a:t>
          </a:r>
          <a:r>
            <a:rPr lang="en-NZ" sz="1100">
              <a:solidFill>
                <a:schemeClr val="dk1"/>
              </a:solidFill>
              <a:latin typeface="+mn-lt"/>
              <a:ea typeface="+mn-ea"/>
              <a:cs typeface="+mn-cs"/>
            </a:rPr>
            <a:t>	=	0.5</a:t>
          </a:r>
        </a:p>
        <a:p>
          <a:r>
            <a:rPr lang="en-NZ" sz="1100">
              <a:solidFill>
                <a:schemeClr val="dk1"/>
              </a:solidFill>
              <a:latin typeface="+mn-lt"/>
              <a:ea typeface="+mn-ea"/>
              <a:cs typeface="+mn-cs"/>
            </a:rPr>
            <a:t>F	=	0.5</a:t>
          </a:r>
        </a:p>
        <a:p>
          <a:r>
            <a:rPr lang="en-NZ" sz="1100">
              <a:solidFill>
                <a:schemeClr val="dk1"/>
              </a:solidFill>
              <a:latin typeface="+mn-lt"/>
              <a:ea typeface="+mn-ea"/>
              <a:cs typeface="+mn-cs"/>
            </a:rPr>
            <a:t>16/12	–	convert carbon to CO</a:t>
          </a:r>
          <a:r>
            <a:rPr lang="en-NZ" sz="1100" baseline="-25000">
              <a:solidFill>
                <a:schemeClr val="dk1"/>
              </a:solidFill>
              <a:latin typeface="+mn-lt"/>
              <a:ea typeface="+mn-ea"/>
              <a:cs typeface="+mn-cs"/>
            </a:rPr>
            <a:t>2</a:t>
          </a:r>
          <a:endParaRPr lang="en-NZ" sz="1100">
            <a:solidFill>
              <a:schemeClr val="dk1"/>
            </a:solidFill>
            <a:latin typeface="+mn-lt"/>
            <a:ea typeface="+mn-ea"/>
            <a:cs typeface="+mn-cs"/>
          </a:endParaRPr>
        </a:p>
        <a:p>
          <a:r>
            <a:rPr lang="en-NZ" sz="1100">
              <a:solidFill>
                <a:schemeClr val="dk1"/>
              </a:solidFill>
              <a:latin typeface="+mn-lt"/>
              <a:ea typeface="+mn-ea"/>
              <a:cs typeface="+mn-cs"/>
            </a:rPr>
            <a:t>R	=	</a:t>
          </a:r>
          <a:r>
            <a:rPr lang="en-NZ" sz="1100" b="0">
              <a:solidFill>
                <a:schemeClr val="dk1"/>
              </a:solidFill>
              <a:latin typeface="+mn-lt"/>
              <a:ea typeface="+mn-ea"/>
              <a:cs typeface="+mn-cs"/>
            </a:rPr>
            <a:t>0.636</a:t>
          </a:r>
          <a:r>
            <a:rPr lang="en-NZ" sz="1100">
              <a:solidFill>
                <a:schemeClr val="dk1"/>
              </a:solidFill>
              <a:latin typeface="+mn-lt"/>
              <a:ea typeface="+mn-ea"/>
              <a:cs typeface="+mn-cs"/>
            </a:rPr>
            <a:t> where landfill gas systems are in place, 0 otherwise</a:t>
          </a:r>
        </a:p>
        <a:p>
          <a:r>
            <a:rPr lang="en-NZ" sz="1100">
              <a:solidFill>
                <a:schemeClr val="dk1"/>
              </a:solidFill>
              <a:latin typeface="+mn-lt"/>
              <a:ea typeface="+mn-ea"/>
              <a:cs typeface="+mn-cs"/>
            </a:rPr>
            <a:t>OX	=	0.1</a:t>
          </a:r>
        </a:p>
        <a:p>
          <a:r>
            <a:rPr lang="en-NZ" sz="1100">
              <a:solidFill>
                <a:schemeClr val="dk1"/>
              </a:solidFill>
              <a:latin typeface="+mn-lt"/>
              <a:ea typeface="+mn-ea"/>
              <a:cs typeface="+mn-cs"/>
            </a:rPr>
            <a:t> </a:t>
          </a:r>
        </a:p>
        <a:p>
          <a:r>
            <a:rPr lang="en-NZ" sz="1100">
              <a:solidFill>
                <a:schemeClr val="dk1"/>
              </a:solidFill>
              <a:latin typeface="+mn-lt"/>
              <a:ea typeface="+mn-ea"/>
              <a:cs typeface="+mn-cs"/>
            </a:rPr>
            <a:t>The table  to the left shows how this equation has been applied to derive the emission factors for waste deposited to landfill.</a:t>
          </a:r>
        </a:p>
        <a:p>
          <a:endParaRPr lang="en-NZ" sz="1100"/>
        </a:p>
      </xdr:txBody>
    </xdr:sp>
    <xdr:clientData/>
  </xdr:twoCellAnchor>
  <xdr:twoCellAnchor>
    <xdr:from>
      <xdr:col>6</xdr:col>
      <xdr:colOff>857250</xdr:colOff>
      <xdr:row>3</xdr:row>
      <xdr:rowOff>166686</xdr:rowOff>
    </xdr:from>
    <xdr:to>
      <xdr:col>13</xdr:col>
      <xdr:colOff>142876</xdr:colOff>
      <xdr:row>7</xdr:row>
      <xdr:rowOff>190499</xdr:rowOff>
    </xdr:to>
    <xdr:sp macro="" textlink="">
      <xdr:nvSpPr>
        <xdr:cNvPr id="4" name="TextBox 3"/>
        <xdr:cNvSpPr txBox="1"/>
      </xdr:nvSpPr>
      <xdr:spPr>
        <a:xfrm>
          <a:off x="9274969" y="666749"/>
          <a:ext cx="9024938" cy="120253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NZ" sz="1000" b="1" u="sng">
              <a:latin typeface="Arial" pitchFamily="34" charset="0"/>
              <a:cs typeface="Arial" pitchFamily="34" charset="0"/>
            </a:rPr>
            <a:t>Source:</a:t>
          </a:r>
          <a:r>
            <a:rPr lang="en-NZ" sz="1000" b="1" u="sng" baseline="0">
              <a:latin typeface="Arial" pitchFamily="34" charset="0"/>
              <a:cs typeface="Arial" pitchFamily="34" charset="0"/>
            </a:rPr>
            <a:t> </a:t>
          </a:r>
          <a:br>
            <a:rPr lang="en-NZ" sz="1000" b="1" u="sng" baseline="0">
              <a:latin typeface="Arial" pitchFamily="34" charset="0"/>
              <a:cs typeface="Arial" pitchFamily="34" charset="0"/>
            </a:rPr>
          </a:br>
          <a:endParaRPr lang="en-NZ" sz="1000" b="1" u="sng" baseline="0">
            <a:latin typeface="Arial" pitchFamily="34" charset="0"/>
            <a:cs typeface="Arial" pitchFamily="34" charset="0"/>
          </a:endParaRPr>
        </a:p>
        <a:p>
          <a:r>
            <a:rPr lang="en-NZ" sz="1000" b="0" i="0" u="none" strike="noStrike">
              <a:solidFill>
                <a:schemeClr val="dk1"/>
              </a:solidFill>
              <a:latin typeface="Arial" pitchFamily="34" charset="0"/>
              <a:ea typeface="+mn-ea"/>
              <a:cs typeface="Arial" pitchFamily="34" charset="0"/>
            </a:rPr>
            <a:t>Fraction of recovered methane</a:t>
          </a:r>
          <a:r>
            <a:rPr lang="en-NZ" sz="1000">
              <a:latin typeface="Arial" pitchFamily="34" charset="0"/>
              <a:cs typeface="Arial" pitchFamily="34" charset="0"/>
            </a:rPr>
            <a:t> </a:t>
          </a:r>
        </a:p>
        <a:p>
          <a:r>
            <a:rPr lang="en-NZ" sz="1000" b="0" i="1" u="none" strike="noStrike">
              <a:solidFill>
                <a:schemeClr val="dk1"/>
              </a:solidFill>
              <a:latin typeface="Arial" pitchFamily="34" charset="0"/>
              <a:ea typeface="+mn-ea"/>
              <a:cs typeface="Arial" pitchFamily="34" charset="0"/>
            </a:rPr>
            <a:t>New Zealand's Greenhouse Gas Inventory 1990 - 2012</a:t>
          </a:r>
          <a:r>
            <a:rPr lang="en-NZ" sz="1000">
              <a:latin typeface="Arial" pitchFamily="34" charset="0"/>
              <a:cs typeface="Arial" pitchFamily="34" charset="0"/>
            </a:rPr>
            <a:t> </a:t>
          </a:r>
        </a:p>
        <a:p>
          <a:endParaRPr lang="en-NZ" sz="1000" b="0" i="0" u="none" strike="noStrike">
            <a:solidFill>
              <a:schemeClr val="dk1"/>
            </a:solidFill>
            <a:latin typeface="Arial" pitchFamily="34" charset="0"/>
            <a:ea typeface="+mn-ea"/>
            <a:cs typeface="Arial" pitchFamily="34" charset="0"/>
          </a:endParaRPr>
        </a:p>
        <a:p>
          <a:r>
            <a:rPr lang="en-NZ" sz="1000" b="0" i="0" u="none" strike="noStrike">
              <a:solidFill>
                <a:schemeClr val="dk1"/>
              </a:solidFill>
              <a:latin typeface="Arial" pitchFamily="34" charset="0"/>
              <a:ea typeface="+mn-ea"/>
              <a:cs typeface="Arial" pitchFamily="34" charset="0"/>
            </a:rPr>
            <a:t>Office waste composition data taken from the Govt3 programme.</a:t>
          </a:r>
          <a:r>
            <a:rPr lang="en-NZ" sz="1000">
              <a:latin typeface="Arial" pitchFamily="34" charset="0"/>
              <a:cs typeface="Arial" pitchFamily="34" charset="0"/>
            </a:rPr>
            <a:t> </a:t>
          </a:r>
          <a:endParaRPr lang="en-NZ" sz="1000" b="1" u="sng">
            <a:latin typeface="Arial" pitchFamily="34" charset="0"/>
            <a:cs typeface="Arial" pitchFamily="34" charset="0"/>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22</xdr:col>
      <xdr:colOff>0</xdr:colOff>
      <xdr:row>25</xdr:row>
      <xdr:rowOff>84666</xdr:rowOff>
    </xdr:from>
    <xdr:to>
      <xdr:col>31</xdr:col>
      <xdr:colOff>423333</xdr:colOff>
      <xdr:row>32</xdr:row>
      <xdr:rowOff>127000</xdr:rowOff>
    </xdr:to>
    <xdr:sp macro="" textlink="">
      <xdr:nvSpPr>
        <xdr:cNvPr id="2" name="TextBox 1">
          <a:hlinkClick xmlns:r="http://schemas.openxmlformats.org/officeDocument/2006/relationships" r:id="rId1"/>
        </xdr:cNvPr>
        <xdr:cNvSpPr txBox="1"/>
      </xdr:nvSpPr>
      <xdr:spPr>
        <a:xfrm>
          <a:off x="9408583" y="6011333"/>
          <a:ext cx="6350000" cy="118533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NZ" sz="1000" b="1" i="0" u="sng">
              <a:latin typeface="Arial" pitchFamily="34" charset="0"/>
              <a:cs typeface="Arial" pitchFamily="34" charset="0"/>
            </a:rPr>
            <a:t>Source: </a:t>
          </a:r>
          <a:br>
            <a:rPr lang="en-NZ" sz="1000" b="1" i="0" u="sng">
              <a:latin typeface="Arial" pitchFamily="34" charset="0"/>
              <a:cs typeface="Arial" pitchFamily="34" charset="0"/>
            </a:rPr>
          </a:br>
          <a:r>
            <a:rPr lang="en-NZ" sz="1000" b="1" i="0" u="sng">
              <a:latin typeface="Arial" pitchFamily="34" charset="0"/>
              <a:cs typeface="Arial" pitchFamily="34" charset="0"/>
            </a:rPr>
            <a:t/>
          </a:r>
          <a:br>
            <a:rPr lang="en-NZ" sz="1000" b="1" i="0" u="sng">
              <a:latin typeface="Arial" pitchFamily="34" charset="0"/>
              <a:cs typeface="Arial" pitchFamily="34" charset="0"/>
            </a:rPr>
          </a:br>
          <a:r>
            <a:rPr lang="en-NZ" sz="1000" b="0" i="0" u="none">
              <a:latin typeface="Arial" pitchFamily="34" charset="0"/>
              <a:cs typeface="Arial" pitchFamily="34" charset="0"/>
            </a:rPr>
            <a:t>Ministry of Transport –</a:t>
          </a:r>
          <a:r>
            <a:rPr lang="en-NZ" sz="1000" b="0" i="0" u="none" baseline="0">
              <a:latin typeface="Arial" pitchFamily="34" charset="0"/>
              <a:cs typeface="Arial" pitchFamily="34" charset="0"/>
            </a:rPr>
            <a:t> New Zealand Annual Vehicle Fleet Statistics </a:t>
          </a:r>
          <a:br>
            <a:rPr lang="en-NZ" sz="1000" b="0" i="0" u="none" baseline="0">
              <a:latin typeface="Arial" pitchFamily="34" charset="0"/>
              <a:cs typeface="Arial" pitchFamily="34" charset="0"/>
            </a:rPr>
          </a:br>
          <a:r>
            <a:rPr lang="en-NZ" sz="1000" b="0" i="0" u="none" strike="noStrike">
              <a:solidFill>
                <a:schemeClr val="dk1"/>
              </a:solidFill>
              <a:latin typeface="Arial" pitchFamily="34" charset="0"/>
              <a:ea typeface="+mn-ea"/>
              <a:cs typeface="Arial" pitchFamily="34" charset="0"/>
            </a:rPr>
            <a:t>Figure 6.4b Numbers of NZ new entering the light fleet, by engine size band and year</a:t>
          </a:r>
          <a:br>
            <a:rPr lang="en-NZ" sz="1000" b="0" i="0" u="none" strike="noStrike">
              <a:solidFill>
                <a:schemeClr val="dk1"/>
              </a:solidFill>
              <a:latin typeface="Arial" pitchFamily="34" charset="0"/>
              <a:ea typeface="+mn-ea"/>
              <a:cs typeface="Arial" pitchFamily="34" charset="0"/>
            </a:rPr>
          </a:br>
          <a:endParaRPr lang="en-NZ" sz="1000" b="1" i="0" u="sng">
            <a:latin typeface="Arial" pitchFamily="34" charset="0"/>
            <a:cs typeface="Arial" pitchFamily="34" charset="0"/>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25978</xdr:colOff>
      <xdr:row>37</xdr:row>
      <xdr:rowOff>168854</xdr:rowOff>
    </xdr:from>
    <xdr:to>
      <xdr:col>1</xdr:col>
      <xdr:colOff>34637</xdr:colOff>
      <xdr:row>41</xdr:row>
      <xdr:rowOff>166688</xdr:rowOff>
    </xdr:to>
    <xdr:sp macro="" textlink="">
      <xdr:nvSpPr>
        <xdr:cNvPr id="2" name="TextBox 1"/>
        <xdr:cNvSpPr txBox="1"/>
      </xdr:nvSpPr>
      <xdr:spPr>
        <a:xfrm>
          <a:off x="25978" y="7955542"/>
          <a:ext cx="4080597" cy="75983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NZ" sz="1000" b="1" u="sng">
              <a:latin typeface="Arial" pitchFamily="34" charset="0"/>
              <a:cs typeface="Arial" pitchFamily="34" charset="0"/>
            </a:rPr>
            <a:t>Source: </a:t>
          </a:r>
        </a:p>
        <a:p>
          <a:endParaRPr lang="en-NZ" sz="1000" b="0" u="none">
            <a:latin typeface="Arial" pitchFamily="34" charset="0"/>
            <a:cs typeface="Arial" pitchFamily="34" charset="0"/>
          </a:endParaRPr>
        </a:p>
        <a:p>
          <a:r>
            <a:rPr lang="en-NZ" sz="1000" b="0" u="none">
              <a:latin typeface="Arial" pitchFamily="34" charset="0"/>
              <a:cs typeface="Arial" pitchFamily="34" charset="0"/>
            </a:rPr>
            <a:t>Motor</a:t>
          </a:r>
          <a:r>
            <a:rPr lang="en-NZ" sz="1000" b="0" u="none" baseline="0">
              <a:latin typeface="Arial" pitchFamily="34" charset="0"/>
              <a:cs typeface="Arial" pitchFamily="34" charset="0"/>
            </a:rPr>
            <a:t> Industry Association </a:t>
          </a:r>
        </a:p>
        <a:p>
          <a:endParaRPr lang="en-NZ" sz="1100" b="0" u="none"/>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314325</xdr:colOff>
      <xdr:row>6</xdr:row>
      <xdr:rowOff>161923</xdr:rowOff>
    </xdr:from>
    <xdr:to>
      <xdr:col>14</xdr:col>
      <xdr:colOff>600075</xdr:colOff>
      <xdr:row>37</xdr:row>
      <xdr:rowOff>152400</xdr:rowOff>
    </xdr:to>
    <xdr:sp macro="" textlink="">
      <xdr:nvSpPr>
        <xdr:cNvPr id="2" name="TextBox 1"/>
        <xdr:cNvSpPr txBox="1"/>
      </xdr:nvSpPr>
      <xdr:spPr>
        <a:xfrm>
          <a:off x="10342245" y="1198243"/>
          <a:ext cx="4248150" cy="653605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NZ" sz="1000" b="1" u="sng">
              <a:latin typeface="Arial" pitchFamily="34" charset="0"/>
              <a:cs typeface="Arial" pitchFamily="34" charset="0"/>
            </a:rPr>
            <a:t>Source:</a:t>
          </a:r>
          <a:r>
            <a:rPr lang="en-NZ" sz="1000" b="1" u="sng" baseline="0">
              <a:latin typeface="Arial" pitchFamily="34" charset="0"/>
              <a:cs typeface="Arial" pitchFamily="34" charset="0"/>
            </a:rPr>
            <a:t> </a:t>
          </a:r>
          <a:r>
            <a:rPr lang="en-NZ" sz="1000" b="1" u="sng">
              <a:latin typeface="Arial" pitchFamily="34" charset="0"/>
              <a:cs typeface="Arial" pitchFamily="34" charset="0"/>
            </a:rPr>
            <a:t> </a:t>
          </a:r>
        </a:p>
        <a:p>
          <a:endParaRPr lang="en-NZ" sz="1000">
            <a:latin typeface="Arial" pitchFamily="34" charset="0"/>
            <a:cs typeface="Arial" pitchFamily="34" charset="0"/>
          </a:endParaRPr>
        </a:p>
        <a:p>
          <a:r>
            <a:rPr lang="en-NZ" sz="1000" baseline="0">
              <a:solidFill>
                <a:schemeClr val="dk1"/>
              </a:solidFill>
              <a:latin typeface="Arial" pitchFamily="34" charset="0"/>
              <a:ea typeface="+mn-ea"/>
              <a:cs typeface="Arial" pitchFamily="34" charset="0"/>
            </a:rPr>
            <a:t>Energy Information and Modelling Group</a:t>
          </a:r>
          <a:endParaRPr lang="en-NZ" sz="1000">
            <a:latin typeface="Arial" pitchFamily="34" charset="0"/>
            <a:cs typeface="Arial" pitchFamily="34" charset="0"/>
          </a:endParaRPr>
        </a:p>
        <a:p>
          <a:r>
            <a:rPr lang="en-NZ" sz="1000">
              <a:solidFill>
                <a:schemeClr val="dk1"/>
              </a:solidFill>
              <a:latin typeface="Arial" pitchFamily="34" charset="0"/>
              <a:ea typeface="+mn-ea"/>
              <a:cs typeface="Arial" pitchFamily="34" charset="0"/>
            </a:rPr>
            <a:t>Ministry of Business, Innovation and Employment</a:t>
          </a:r>
          <a:endParaRPr lang="en-NZ" sz="1000">
            <a:latin typeface="Arial" pitchFamily="34" charset="0"/>
            <a:cs typeface="Arial" pitchFamily="34" charset="0"/>
          </a:endParaRPr>
        </a:p>
        <a:p>
          <a:endParaRPr lang="en-NZ" sz="1000">
            <a:latin typeface="Arial" pitchFamily="34" charset="0"/>
            <a:cs typeface="Arial" pitchFamily="34" charset="0"/>
          </a:endParaRPr>
        </a:p>
        <a:p>
          <a:r>
            <a:rPr lang="en-NZ" sz="1000" u="sng">
              <a:latin typeface="Arial" pitchFamily="34" charset="0"/>
              <a:cs typeface="Arial" pitchFamily="34" charset="0"/>
            </a:rPr>
            <a:t>CO</a:t>
          </a:r>
          <a:r>
            <a:rPr lang="en-NZ" sz="1000" u="sng" baseline="-25000">
              <a:latin typeface="Arial" pitchFamily="34" charset="0"/>
              <a:cs typeface="Arial" pitchFamily="34" charset="0"/>
            </a:rPr>
            <a:t>2</a:t>
          </a:r>
          <a:r>
            <a:rPr lang="en-NZ" sz="1000" u="sng">
              <a:latin typeface="Arial" pitchFamily="34" charset="0"/>
              <a:cs typeface="Arial" pitchFamily="34" charset="0"/>
            </a:rPr>
            <a:t> uncertainties </a:t>
          </a:r>
        </a:p>
        <a:p>
          <a:pPr marL="0" marR="0" indent="0" defTabSz="914400" eaLnBrk="1" fontAlgn="auto" latinLnBrk="0" hangingPunct="1">
            <a:lnSpc>
              <a:spcPct val="100000"/>
            </a:lnSpc>
            <a:spcBef>
              <a:spcPts val="0"/>
            </a:spcBef>
            <a:spcAft>
              <a:spcPts val="0"/>
            </a:spcAft>
            <a:buClrTx/>
            <a:buSzTx/>
            <a:buFontTx/>
            <a:buNone/>
            <a:tabLst/>
            <a:defRPr/>
          </a:pPr>
          <a:r>
            <a:rPr lang="en-NZ" sz="1000">
              <a:latin typeface="Arial" pitchFamily="34" charset="0"/>
              <a:cs typeface="Arial" pitchFamily="34" charset="0"/>
            </a:rPr>
            <a:t>Liquid fossil fuels: </a:t>
          </a:r>
          <a:r>
            <a:rPr lang="en-NZ" sz="1000">
              <a:solidFill>
                <a:schemeClr val="dk1"/>
              </a:solidFill>
              <a:latin typeface="Arial" pitchFamily="34" charset="0"/>
              <a:ea typeface="+mn-ea"/>
              <a:cs typeface="Arial" pitchFamily="34" charset="0"/>
            </a:rPr>
            <a:t>Report by consultants Hale and Twomey for the Ministry for the Environment </a:t>
          </a:r>
          <a:r>
            <a:rPr lang="en-NZ" sz="1000" i="1">
              <a:solidFill>
                <a:schemeClr val="dk1"/>
              </a:solidFill>
              <a:latin typeface="Arial" pitchFamily="34" charset="0"/>
              <a:ea typeface="+mn-ea"/>
              <a:cs typeface="Arial" pitchFamily="34" charset="0"/>
            </a:rPr>
            <a:t>Reviewing default emission factors for liquid fossil fuels adopted by the New Zealand Emissions Trading Scheme (2009)</a:t>
          </a:r>
          <a:r>
            <a:rPr lang="en-NZ" sz="1000">
              <a:solidFill>
                <a:schemeClr val="dk1"/>
              </a:solidFill>
              <a:latin typeface="Arial" pitchFamily="34" charset="0"/>
              <a:ea typeface="+mn-ea"/>
              <a:cs typeface="Arial" pitchFamily="34" charset="0"/>
            </a:rPr>
            <a:t>.</a:t>
          </a:r>
        </a:p>
        <a:p>
          <a:endParaRPr lang="en-NZ" sz="1000">
            <a:latin typeface="Arial" pitchFamily="34" charset="0"/>
            <a:cs typeface="Arial" pitchFamily="34" charset="0"/>
          </a:endParaRPr>
        </a:p>
        <a:p>
          <a:r>
            <a:rPr lang="en-NZ" sz="1000">
              <a:solidFill>
                <a:schemeClr val="dk1"/>
              </a:solidFill>
              <a:latin typeface="Arial" pitchFamily="34" charset="0"/>
              <a:ea typeface="+mn-ea"/>
              <a:cs typeface="Arial" pitchFamily="34" charset="0"/>
            </a:rPr>
            <a:t>Solid fossil fuels: Coal is calculated from the average of the difference between the emission factors for different ranks of coal.</a:t>
          </a:r>
        </a:p>
        <a:p>
          <a:r>
            <a:rPr lang="en-NZ" sz="1000">
              <a:solidFill>
                <a:schemeClr val="dk1"/>
              </a:solidFill>
              <a:latin typeface="Arial" pitchFamily="34" charset="0"/>
              <a:ea typeface="+mn-ea"/>
              <a:cs typeface="Arial" pitchFamily="34" charset="0"/>
            </a:rPr>
            <a:t> </a:t>
          </a:r>
        </a:p>
        <a:p>
          <a:r>
            <a:rPr lang="en-NZ" sz="1000">
              <a:solidFill>
                <a:schemeClr val="dk1"/>
              </a:solidFill>
              <a:latin typeface="Arial" pitchFamily="34" charset="0"/>
              <a:ea typeface="+mn-ea"/>
              <a:cs typeface="Arial" pitchFamily="34" charset="0"/>
            </a:rPr>
            <a:t>Gaseous fossil fuels: Gas comes from the difference between ranges of the emission factors of the three largest fields. </a:t>
          </a:r>
          <a:r>
            <a:rPr lang="en-NZ" sz="1000" baseline="0">
              <a:solidFill>
                <a:schemeClr val="dk1"/>
              </a:solidFill>
              <a:latin typeface="Arial" pitchFamily="34" charset="0"/>
              <a:ea typeface="+mn-ea"/>
              <a:cs typeface="Arial" pitchFamily="34" charset="0"/>
            </a:rPr>
            <a:t>It is calcualted by </a:t>
          </a:r>
          <a:r>
            <a:rPr lang="en-NZ" sz="1000">
              <a:solidFill>
                <a:schemeClr val="dk1"/>
              </a:solidFill>
              <a:latin typeface="Arial" pitchFamily="34" charset="0"/>
              <a:ea typeface="+mn-ea"/>
              <a:cs typeface="Arial" pitchFamily="34" charset="0"/>
            </a:rPr>
            <a:t>taking</a:t>
          </a:r>
          <a:r>
            <a:rPr lang="en-NZ" sz="1000" baseline="0">
              <a:solidFill>
                <a:schemeClr val="dk1"/>
              </a:solidFill>
              <a:latin typeface="Arial" pitchFamily="34" charset="0"/>
              <a:ea typeface="+mn-ea"/>
              <a:cs typeface="Arial" pitchFamily="34" charset="0"/>
            </a:rPr>
            <a:t> </a:t>
          </a:r>
          <a:r>
            <a:rPr lang="en-NZ" sz="1000">
              <a:solidFill>
                <a:schemeClr val="dk1"/>
              </a:solidFill>
              <a:latin typeface="Arial" pitchFamily="34" charset="0"/>
              <a:ea typeface="+mn-ea"/>
              <a:cs typeface="Arial" pitchFamily="34" charset="0"/>
            </a:rPr>
            <a:t>the maximum less the average and the average less the minimum for each of the big fields and then taking the average of those six numbers. </a:t>
          </a:r>
        </a:p>
        <a:p>
          <a:endParaRPr lang="en-NZ" sz="1000">
            <a:latin typeface="Arial" pitchFamily="34" charset="0"/>
            <a:cs typeface="Arial"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lang="en-NZ" sz="1000" u="sng">
              <a:latin typeface="Arial" pitchFamily="34" charset="0"/>
              <a:cs typeface="Arial" pitchFamily="34" charset="0"/>
            </a:rPr>
            <a:t>Non-</a:t>
          </a:r>
          <a:r>
            <a:rPr lang="en-NZ" sz="1000" u="sng">
              <a:solidFill>
                <a:schemeClr val="dk1"/>
              </a:solidFill>
              <a:latin typeface="Arial" pitchFamily="34" charset="0"/>
              <a:ea typeface="+mn-ea"/>
              <a:cs typeface="Arial" pitchFamily="34" charset="0"/>
            </a:rPr>
            <a:t>CO</a:t>
          </a:r>
          <a:r>
            <a:rPr lang="en-NZ" sz="1000" u="sng" baseline="-25000">
              <a:solidFill>
                <a:schemeClr val="dk1"/>
              </a:solidFill>
              <a:latin typeface="Arial" pitchFamily="34" charset="0"/>
              <a:ea typeface="+mn-ea"/>
              <a:cs typeface="Arial" pitchFamily="34" charset="0"/>
            </a:rPr>
            <a:t>2</a:t>
          </a:r>
          <a:r>
            <a:rPr lang="en-NZ" sz="1000" u="sng">
              <a:solidFill>
                <a:schemeClr val="dk1"/>
              </a:solidFill>
              <a:latin typeface="Arial" pitchFamily="34" charset="0"/>
              <a:ea typeface="+mn-ea"/>
              <a:cs typeface="Arial" pitchFamily="34" charset="0"/>
            </a:rPr>
            <a:t> uncertainties </a:t>
          </a:r>
          <a:endParaRPr lang="en-NZ" sz="1000">
            <a:latin typeface="Arial" pitchFamily="34" charset="0"/>
            <a:cs typeface="Arial" pitchFamily="34" charset="0"/>
          </a:endParaRPr>
        </a:p>
        <a:p>
          <a:r>
            <a:rPr lang="en-NZ" sz="1000">
              <a:latin typeface="Arial" pitchFamily="34" charset="0"/>
              <a:cs typeface="Arial" pitchFamily="34" charset="0"/>
            </a:rPr>
            <a:t>The non-CO</a:t>
          </a:r>
          <a:r>
            <a:rPr lang="en-NZ" sz="1000" baseline="-25000">
              <a:latin typeface="Arial" pitchFamily="34" charset="0"/>
              <a:cs typeface="Arial" pitchFamily="34" charset="0"/>
            </a:rPr>
            <a:t>2</a:t>
          </a:r>
          <a:r>
            <a:rPr lang="en-NZ" sz="1000">
              <a:latin typeface="Arial" pitchFamily="34" charset="0"/>
              <a:cs typeface="Arial" pitchFamily="34" charset="0"/>
            </a:rPr>
            <a:t> default uncertainty</a:t>
          </a:r>
          <a:r>
            <a:rPr lang="en-NZ" sz="1000" baseline="0">
              <a:latin typeface="Arial" pitchFamily="34" charset="0"/>
              <a:cs typeface="Arial" pitchFamily="34" charset="0"/>
            </a:rPr>
            <a:t> values of 50 per cent </a:t>
          </a:r>
          <a:r>
            <a:rPr lang="en-NZ" sz="1000">
              <a:latin typeface="Arial" pitchFamily="34" charset="0"/>
              <a:cs typeface="Arial" pitchFamily="34" charset="0"/>
            </a:rPr>
            <a:t>are from the revised 1996 IPCC guidelines.</a:t>
          </a:r>
        </a:p>
        <a:p>
          <a:endParaRPr lang="en-NZ" sz="1000">
            <a:latin typeface="Arial" pitchFamily="34" charset="0"/>
            <a:cs typeface="Arial" pitchFamily="34" charset="0"/>
          </a:endParaRPr>
        </a:p>
        <a:p>
          <a:r>
            <a:rPr lang="en-NZ" sz="1000">
              <a:latin typeface="Arial" pitchFamily="34" charset="0"/>
              <a:cs typeface="Arial" pitchFamily="34" charset="0"/>
            </a:rPr>
            <a:t>Note: The</a:t>
          </a:r>
          <a:r>
            <a:rPr lang="en-NZ" sz="1000" baseline="0">
              <a:latin typeface="Arial" pitchFamily="34" charset="0"/>
              <a:cs typeface="Arial" pitchFamily="34" charset="0"/>
            </a:rPr>
            <a:t> uncertainty for N</a:t>
          </a:r>
          <a:r>
            <a:rPr lang="en-NZ" sz="1000" baseline="-25000">
              <a:latin typeface="Arial" pitchFamily="34" charset="0"/>
              <a:cs typeface="Arial" pitchFamily="34" charset="0"/>
            </a:rPr>
            <a:t>2</a:t>
          </a:r>
          <a:r>
            <a:rPr lang="en-NZ" sz="1000" baseline="0">
              <a:latin typeface="Arial" pitchFamily="34" charset="0"/>
              <a:cs typeface="Arial" pitchFamily="34" charset="0"/>
            </a:rPr>
            <a:t>O can have a range of up to an order of magnitude (ie, </a:t>
          </a:r>
          <a:r>
            <a:rPr lang="en-NZ" sz="1000" baseline="0" smtClean="0">
              <a:solidFill>
                <a:schemeClr val="dk1"/>
              </a:solidFill>
              <a:latin typeface="Arial" pitchFamily="34" charset="0"/>
              <a:ea typeface="+mn-ea"/>
              <a:cs typeface="Arial" pitchFamily="34" charset="0"/>
            </a:rPr>
            <a:t>having an uncertainty range from one-tenth of the mean value to ten times the mean value). For the purposes of combining uncertainties the N</a:t>
          </a:r>
          <a:r>
            <a:rPr lang="en-NZ" sz="1000" baseline="-25000" smtClean="0">
              <a:solidFill>
                <a:schemeClr val="dk1"/>
              </a:solidFill>
              <a:latin typeface="Arial" pitchFamily="34" charset="0"/>
              <a:ea typeface="+mn-ea"/>
              <a:cs typeface="Arial" pitchFamily="34" charset="0"/>
            </a:rPr>
            <a:t>2</a:t>
          </a:r>
          <a:r>
            <a:rPr lang="en-NZ" sz="1000" baseline="0" smtClean="0">
              <a:solidFill>
                <a:schemeClr val="dk1"/>
              </a:solidFill>
              <a:latin typeface="Arial" pitchFamily="34" charset="0"/>
              <a:ea typeface="+mn-ea"/>
              <a:cs typeface="Arial" pitchFamily="34" charset="0"/>
            </a:rPr>
            <a:t>O uncertainty has been set at 50 per cent. </a:t>
          </a:r>
        </a:p>
        <a:p>
          <a:endParaRPr lang="en-NZ" sz="1000">
            <a:latin typeface="Arial" pitchFamily="34" charset="0"/>
            <a:cs typeface="Arial" pitchFamily="34" charset="0"/>
          </a:endParaRPr>
        </a:p>
        <a:p>
          <a:r>
            <a:rPr lang="en-NZ" sz="1000">
              <a:latin typeface="Arial" pitchFamily="34" charset="0"/>
              <a:cs typeface="Arial" pitchFamily="34" charset="0"/>
            </a:rPr>
            <a:t>Uncertainty analysis follows the method in chapter</a:t>
          </a:r>
          <a:r>
            <a:rPr lang="en-NZ" sz="1000" baseline="0">
              <a:latin typeface="Arial" pitchFamily="34" charset="0"/>
              <a:cs typeface="Arial" pitchFamily="34" charset="0"/>
            </a:rPr>
            <a:t> 6 of the </a:t>
          </a:r>
          <a:r>
            <a:rPr lang="en-NZ" sz="1000">
              <a:latin typeface="Arial" pitchFamily="34" charset="0"/>
              <a:cs typeface="Arial" pitchFamily="34" charset="0"/>
            </a:rPr>
            <a:t>IPCC good practice guidance (2000). </a:t>
          </a:r>
        </a:p>
        <a:p>
          <a:endParaRPr lang="en-NZ" sz="1000">
            <a:latin typeface="Arial" pitchFamily="34" charset="0"/>
            <a:cs typeface="Arial" pitchFamily="34" charset="0"/>
          </a:endParaRPr>
        </a:p>
        <a:p>
          <a:r>
            <a:rPr lang="en-NZ" sz="1000">
              <a:latin typeface="Arial" pitchFamily="34" charset="0"/>
              <a:cs typeface="Arial" pitchFamily="34" charset="0"/>
            </a:rPr>
            <a:t>http://www.ipcc-nggip.iges.or.jp/public/gp/english/</a:t>
          </a:r>
        </a:p>
        <a:p>
          <a:endParaRPr lang="en-NZ"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12</xdr:col>
      <xdr:colOff>0</xdr:colOff>
      <xdr:row>6</xdr:row>
      <xdr:rowOff>9525</xdr:rowOff>
    </xdr:from>
    <xdr:to>
      <xdr:col>18</xdr:col>
      <xdr:colOff>571500</xdr:colOff>
      <xdr:row>12</xdr:row>
      <xdr:rowOff>47625</xdr:rowOff>
    </xdr:to>
    <xdr:sp macro="" textlink="">
      <xdr:nvSpPr>
        <xdr:cNvPr id="3" name="TextBox 2"/>
        <xdr:cNvSpPr txBox="1"/>
      </xdr:nvSpPr>
      <xdr:spPr>
        <a:xfrm>
          <a:off x="10239375" y="1409700"/>
          <a:ext cx="4229100" cy="1066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NZ" sz="1000" b="1" i="0" u="sng" strike="noStrike">
              <a:solidFill>
                <a:schemeClr val="dk1"/>
              </a:solidFill>
              <a:latin typeface="Arial" pitchFamily="34" charset="0"/>
              <a:ea typeface="+mn-ea"/>
              <a:cs typeface="Arial" pitchFamily="34" charset="0"/>
            </a:rPr>
            <a:t>Source</a:t>
          </a:r>
          <a:r>
            <a:rPr lang="en-NZ" sz="1000" b="1" i="0" u="none" strike="noStrike">
              <a:solidFill>
                <a:schemeClr val="dk1"/>
              </a:solidFill>
              <a:latin typeface="Arial" pitchFamily="34" charset="0"/>
              <a:ea typeface="+mn-ea"/>
              <a:cs typeface="Arial" pitchFamily="34" charset="0"/>
            </a:rPr>
            <a:t>:</a:t>
          </a:r>
          <a:r>
            <a:rPr lang="en-NZ" sz="1000" b="1" i="0" u="none" strike="noStrike" baseline="0">
              <a:solidFill>
                <a:schemeClr val="dk1"/>
              </a:solidFill>
              <a:latin typeface="Arial" pitchFamily="34" charset="0"/>
              <a:ea typeface="+mn-ea"/>
              <a:cs typeface="Arial" pitchFamily="34" charset="0"/>
            </a:rPr>
            <a:t> </a:t>
          </a:r>
          <a:endParaRPr lang="en-NZ" sz="1000" b="1">
            <a:latin typeface="Arial" pitchFamily="34" charset="0"/>
            <a:cs typeface="Arial" pitchFamily="34" charset="0"/>
          </a:endParaRPr>
        </a:p>
        <a:p>
          <a:endParaRPr lang="en-NZ" sz="1000" b="0" i="0" u="none" strike="noStrike">
            <a:solidFill>
              <a:schemeClr val="dk1"/>
            </a:solidFill>
            <a:latin typeface="Arial" pitchFamily="34" charset="0"/>
            <a:ea typeface="+mn-ea"/>
            <a:cs typeface="Arial" pitchFamily="34" charset="0"/>
          </a:endParaRPr>
        </a:p>
        <a:p>
          <a:r>
            <a:rPr lang="en-NZ" sz="1000" b="0" i="0" u="none" strike="noStrike">
              <a:solidFill>
                <a:schemeClr val="dk1"/>
              </a:solidFill>
              <a:latin typeface="Arial" pitchFamily="34" charset="0"/>
              <a:ea typeface="+mn-ea"/>
              <a:cs typeface="Arial" pitchFamily="34" charset="0"/>
            </a:rPr>
            <a:t>Energy Information and Modelling Group  </a:t>
          </a:r>
        </a:p>
        <a:p>
          <a:r>
            <a:rPr lang="en-NZ" sz="1000">
              <a:solidFill>
                <a:schemeClr val="dk1"/>
              </a:solidFill>
              <a:latin typeface="Arial" pitchFamily="34" charset="0"/>
              <a:ea typeface="+mn-ea"/>
              <a:cs typeface="Arial" pitchFamily="34" charset="0"/>
            </a:rPr>
            <a:t>Ministry of  Business, Innovation and Employment</a:t>
          </a:r>
          <a:endParaRPr lang="en-NZ" sz="1000">
            <a:latin typeface="Arial" pitchFamily="34" charset="0"/>
            <a:cs typeface="Arial" pitchFamily="34" charset="0"/>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12</xdr:col>
      <xdr:colOff>9525</xdr:colOff>
      <xdr:row>2</xdr:row>
      <xdr:rowOff>152401</xdr:rowOff>
    </xdr:from>
    <xdr:to>
      <xdr:col>15</xdr:col>
      <xdr:colOff>457200</xdr:colOff>
      <xdr:row>6</xdr:row>
      <xdr:rowOff>85725</xdr:rowOff>
    </xdr:to>
    <xdr:sp macro="" textlink="">
      <xdr:nvSpPr>
        <xdr:cNvPr id="2" name="TextBox 1"/>
        <xdr:cNvSpPr txBox="1"/>
      </xdr:nvSpPr>
      <xdr:spPr>
        <a:xfrm>
          <a:off x="13315950" y="476251"/>
          <a:ext cx="5105400" cy="114299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NZ" sz="1000" b="1" i="0" u="sng" strike="noStrike">
              <a:solidFill>
                <a:schemeClr val="dk1"/>
              </a:solidFill>
              <a:latin typeface="Arial" panose="020B0604020202020204" pitchFamily="34" charset="0"/>
              <a:ea typeface="+mn-ea"/>
              <a:cs typeface="Arial" panose="020B0604020202020204" pitchFamily="34" charset="0"/>
            </a:rPr>
            <a:t>Source: </a:t>
          </a:r>
          <a:endParaRPr lang="en-NZ" sz="1000" b="1" u="sng">
            <a:latin typeface="Arial" panose="020B0604020202020204" pitchFamily="34" charset="0"/>
            <a:cs typeface="Arial" panose="020B0604020202020204" pitchFamily="34" charset="0"/>
          </a:endParaRPr>
        </a:p>
        <a:p>
          <a:endParaRPr lang="en-NZ" sz="1000" b="0" i="0" u="none" strike="noStrike">
            <a:solidFill>
              <a:schemeClr val="dk1"/>
            </a:solidFill>
            <a:latin typeface="Arial" pitchFamily="34" charset="0"/>
            <a:ea typeface="+mn-ea"/>
            <a:cs typeface="Arial" pitchFamily="34" charset="0"/>
          </a:endParaRPr>
        </a:p>
        <a:p>
          <a:r>
            <a:rPr lang="en-NZ" sz="1000" b="0" i="0" u="none" strike="noStrike">
              <a:solidFill>
                <a:schemeClr val="dk1"/>
              </a:solidFill>
              <a:latin typeface="Arial" pitchFamily="34" charset="0"/>
              <a:ea typeface="+mn-ea"/>
              <a:cs typeface="Arial" pitchFamily="34" charset="0"/>
            </a:rPr>
            <a:t>Ministry of Transport</a:t>
          </a:r>
          <a:r>
            <a:rPr lang="en-NZ" sz="1000">
              <a:latin typeface="Arial" pitchFamily="34" charset="0"/>
              <a:cs typeface="Arial" pitchFamily="34" charset="0"/>
            </a:rPr>
            <a:t> </a:t>
          </a:r>
        </a:p>
        <a:p>
          <a:r>
            <a:rPr lang="en-NZ" sz="1000" b="0" i="0" u="none" strike="noStrike">
              <a:solidFill>
                <a:schemeClr val="dk1"/>
              </a:solidFill>
              <a:latin typeface="Arial" pitchFamily="34" charset="0"/>
              <a:ea typeface="+mn-ea"/>
              <a:cs typeface="Arial" pitchFamily="34" charset="0"/>
            </a:rPr>
            <a:t>Real world petrol fuel use estimate sourced from Ministry of Transport.</a:t>
          </a:r>
          <a:endParaRPr lang="en-NZ" sz="1100" b="0" i="0" u="none" strike="noStrike">
            <a:solidFill>
              <a:schemeClr val="dk1"/>
            </a:solidFill>
            <a:latin typeface="+mn-lt"/>
            <a:ea typeface="+mn-ea"/>
            <a:cs typeface="+mn-cs"/>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10</xdr:col>
      <xdr:colOff>0</xdr:colOff>
      <xdr:row>19</xdr:row>
      <xdr:rowOff>123825</xdr:rowOff>
    </xdr:from>
    <xdr:to>
      <xdr:col>23</xdr:col>
      <xdr:colOff>552450</xdr:colOff>
      <xdr:row>22</xdr:row>
      <xdr:rowOff>42333</xdr:rowOff>
    </xdr:to>
    <xdr:sp macro="" textlink="">
      <xdr:nvSpPr>
        <xdr:cNvPr id="2" name="TextBox 1"/>
        <xdr:cNvSpPr txBox="1"/>
      </xdr:nvSpPr>
      <xdr:spPr>
        <a:xfrm>
          <a:off x="11165417" y="8452908"/>
          <a:ext cx="9251950" cy="8921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NZ" sz="1100" b="1" u="sng"/>
            <a:t>Source: </a:t>
          </a:r>
        </a:p>
        <a:p>
          <a:endParaRPr lang="en-NZ" sz="1100" b="1" u="sng"/>
        </a:p>
        <a:p>
          <a:r>
            <a:rPr lang="en-NZ" sz="1100"/>
            <a:t>Contract report "Assessment of HFC Emission Factors for GHG Reporting Guidelines" by CRL Energy Ltd for the Ministry</a:t>
          </a:r>
          <a:r>
            <a:rPr lang="en-NZ" sz="1100" baseline="0"/>
            <a:t> for the Environment</a:t>
          </a:r>
          <a:endParaRPr lang="en-NZ" sz="1100"/>
        </a:p>
        <a:p>
          <a:r>
            <a:rPr lang="en-NZ" sz="1100"/>
            <a:t/>
          </a:r>
          <a:br>
            <a:rPr lang="en-NZ" sz="1100"/>
          </a:br>
          <a:endParaRPr lang="en-NZ" sz="1100"/>
        </a:p>
      </xdr:txBody>
    </xdr:sp>
    <xdr:clientData/>
  </xdr:twoCellAnchor>
</xdr:wsDr>
</file>

<file path=xl/drawings/drawing6.xml><?xml version="1.0" encoding="utf-8"?>
<xdr:wsDr xmlns:xdr="http://schemas.openxmlformats.org/drawingml/2006/spreadsheetDrawing" xmlns:a="http://schemas.openxmlformats.org/drawingml/2006/main">
  <xdr:oneCellAnchor>
    <xdr:from>
      <xdr:col>12</xdr:col>
      <xdr:colOff>304800</xdr:colOff>
      <xdr:row>20</xdr:row>
      <xdr:rowOff>9525</xdr:rowOff>
    </xdr:from>
    <xdr:ext cx="184731" cy="264560"/>
    <xdr:sp macro="" textlink="">
      <xdr:nvSpPr>
        <xdr:cNvPr id="2" name="TextBox 1"/>
        <xdr:cNvSpPr txBox="1"/>
      </xdr:nvSpPr>
      <xdr:spPr>
        <a:xfrm>
          <a:off x="13725525" y="4076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n-NZ"/>
        </a:p>
      </xdr:txBody>
    </xdr:sp>
    <xdr:clientData/>
  </xdr:oneCellAnchor>
  <xdr:twoCellAnchor>
    <xdr:from>
      <xdr:col>12</xdr:col>
      <xdr:colOff>10583</xdr:colOff>
      <xdr:row>3</xdr:row>
      <xdr:rowOff>558800</xdr:rowOff>
    </xdr:from>
    <xdr:to>
      <xdr:col>17</xdr:col>
      <xdr:colOff>401108</xdr:colOff>
      <xdr:row>11</xdr:row>
      <xdr:rowOff>68792</xdr:rowOff>
    </xdr:to>
    <xdr:sp macro="" textlink="">
      <xdr:nvSpPr>
        <xdr:cNvPr id="3" name="TextBox 2"/>
        <xdr:cNvSpPr txBox="1"/>
      </xdr:nvSpPr>
      <xdr:spPr>
        <a:xfrm>
          <a:off x="13440833" y="1035050"/>
          <a:ext cx="4010025" cy="12350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NZ" sz="1000" b="1" u="sng">
              <a:latin typeface="Arial" pitchFamily="34" charset="0"/>
              <a:cs typeface="Arial" pitchFamily="34" charset="0"/>
            </a:rPr>
            <a:t>Source: </a:t>
          </a:r>
        </a:p>
        <a:p>
          <a:endParaRPr lang="en-NZ" sz="1000" b="1" u="sng">
            <a:latin typeface="Arial" pitchFamily="34" charset="0"/>
            <a:cs typeface="Arial" pitchFamily="34" charset="0"/>
          </a:endParaRPr>
        </a:p>
        <a:p>
          <a:r>
            <a:rPr lang="en-NZ" sz="1000">
              <a:latin typeface="Arial" pitchFamily="34" charset="0"/>
              <a:cs typeface="Arial" pitchFamily="34" charset="0"/>
            </a:rPr>
            <a:t>Ministry of Business, Innovation and Employment publications</a:t>
          </a:r>
        </a:p>
        <a:p>
          <a:r>
            <a:rPr lang="en-NZ" sz="1000" baseline="0">
              <a:latin typeface="Arial" pitchFamily="34" charset="0"/>
              <a:cs typeface="Arial" pitchFamily="34" charset="0"/>
            </a:rPr>
            <a:t>- NZ</a:t>
          </a:r>
          <a:r>
            <a:rPr lang="en-NZ" sz="1000">
              <a:solidFill>
                <a:schemeClr val="dk1"/>
              </a:solidFill>
              <a:latin typeface="Arial" pitchFamily="34" charset="0"/>
              <a:ea typeface="+mn-ea"/>
              <a:cs typeface="Arial" pitchFamily="34" charset="0"/>
            </a:rPr>
            <a:t> Energy Greenhouse Gas Emissions</a:t>
          </a:r>
          <a:endParaRPr lang="en-NZ" sz="1000" baseline="0">
            <a:solidFill>
              <a:schemeClr val="dk1"/>
            </a:solidFill>
            <a:latin typeface="Arial" pitchFamily="34" charset="0"/>
            <a:ea typeface="+mn-ea"/>
            <a:cs typeface="Arial"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lang="en-NZ" sz="1000">
              <a:solidFill>
                <a:schemeClr val="dk1"/>
              </a:solidFill>
              <a:latin typeface="Arial" pitchFamily="34" charset="0"/>
              <a:ea typeface="+mn-ea"/>
              <a:cs typeface="Arial" pitchFamily="34" charset="0"/>
            </a:rPr>
            <a:t>- Energy in New Zealand 2013 </a:t>
          </a:r>
          <a:endParaRPr lang="en-NZ" sz="1000" baseline="0">
            <a:solidFill>
              <a:schemeClr val="dk1"/>
            </a:solidFill>
            <a:latin typeface="Arial" pitchFamily="34" charset="0"/>
            <a:ea typeface="+mn-ea"/>
            <a:cs typeface="Arial" pitchFamily="34" charset="0"/>
          </a:endParaRPr>
        </a:p>
        <a:p>
          <a:endParaRPr lang="en-NZ" sz="1100" b="0"/>
        </a:p>
      </xdr:txBody>
    </xdr:sp>
    <xdr:clientData/>
  </xdr:twoCellAnchor>
  <xdr:twoCellAnchor>
    <xdr:from>
      <xdr:col>12</xdr:col>
      <xdr:colOff>10585</xdr:colOff>
      <xdr:row>12</xdr:row>
      <xdr:rowOff>21168</xdr:rowOff>
    </xdr:from>
    <xdr:to>
      <xdr:col>24</xdr:col>
      <xdr:colOff>201083</xdr:colOff>
      <xdr:row>19</xdr:row>
      <xdr:rowOff>10584</xdr:rowOff>
    </xdr:to>
    <xdr:sp macro="" textlink="">
      <xdr:nvSpPr>
        <xdr:cNvPr id="5" name="TextBox 4">
          <a:hlinkClick xmlns:r="http://schemas.openxmlformats.org/officeDocument/2006/relationships" r:id="rId1"/>
        </xdr:cNvPr>
        <xdr:cNvSpPr txBox="1"/>
      </xdr:nvSpPr>
      <xdr:spPr>
        <a:xfrm>
          <a:off x="13641918" y="2751668"/>
          <a:ext cx="8106832" cy="114299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en-NZ" sz="1000" b="1" i="0" u="sng" baseline="0">
              <a:solidFill>
                <a:schemeClr val="dk1"/>
              </a:solidFill>
              <a:latin typeface="Arial" pitchFamily="34" charset="0"/>
              <a:ea typeface="+mn-ea"/>
              <a:cs typeface="Arial" pitchFamily="34" charset="0"/>
            </a:rPr>
            <a:t>NZ Energy Greenhouse Gas Emissions </a:t>
          </a:r>
          <a:endParaRPr lang="en-NZ" sz="1000" baseline="0">
            <a:solidFill>
              <a:schemeClr val="dk1"/>
            </a:solidFill>
            <a:latin typeface="Arial" pitchFamily="34" charset="0"/>
            <a:ea typeface="+mn-ea"/>
            <a:cs typeface="Arial" pitchFamily="34" charset="0"/>
          </a:endParaRPr>
        </a:p>
        <a:p>
          <a:pPr marL="0" marR="0" indent="0" defTabSz="914400" rtl="0" eaLnBrk="1" fontAlgn="auto" latinLnBrk="0" hangingPunct="1">
            <a:lnSpc>
              <a:spcPct val="100000"/>
            </a:lnSpc>
            <a:spcBef>
              <a:spcPts val="0"/>
            </a:spcBef>
            <a:spcAft>
              <a:spcPts val="0"/>
            </a:spcAft>
            <a:buClrTx/>
            <a:buSzTx/>
            <a:buFontTx/>
            <a:buNone/>
            <a:tabLst/>
            <a:defRPr/>
          </a:pPr>
          <a:r>
            <a:rPr lang="en-NZ" sz="1000" baseline="0">
              <a:solidFill>
                <a:schemeClr val="dk1"/>
              </a:solidFill>
              <a:latin typeface="Arial" pitchFamily="34" charset="0"/>
              <a:ea typeface="+mn-ea"/>
              <a:cs typeface="Arial" pitchFamily="34" charset="0"/>
            </a:rPr>
            <a:t>See web table: Energy Greenhouse Gas Emissions web tables </a:t>
          </a:r>
          <a:br>
            <a:rPr lang="en-NZ" sz="1000" baseline="0">
              <a:solidFill>
                <a:schemeClr val="dk1"/>
              </a:solidFill>
              <a:latin typeface="Arial" pitchFamily="34" charset="0"/>
              <a:ea typeface="+mn-ea"/>
              <a:cs typeface="Arial" pitchFamily="34" charset="0"/>
            </a:rPr>
          </a:br>
          <a:r>
            <a:rPr lang="en-NZ" sz="1000" baseline="0">
              <a:solidFill>
                <a:schemeClr val="dk1"/>
              </a:solidFill>
              <a:latin typeface="Arial" pitchFamily="34" charset="0"/>
              <a:ea typeface="+mn-ea"/>
              <a:cs typeface="Arial" pitchFamily="34" charset="0"/>
            </a:rPr>
            <a:t>Annual_Emissions</a:t>
          </a:r>
          <a:br>
            <a:rPr lang="en-NZ" sz="1000" baseline="0">
              <a:solidFill>
                <a:schemeClr val="dk1"/>
              </a:solidFill>
              <a:latin typeface="Arial" pitchFamily="34" charset="0"/>
              <a:ea typeface="+mn-ea"/>
              <a:cs typeface="Arial" pitchFamily="34" charset="0"/>
            </a:rPr>
          </a:br>
          <a:r>
            <a:rPr lang="en-NZ" sz="1000" baseline="0">
              <a:solidFill>
                <a:schemeClr val="dk1"/>
              </a:solidFill>
              <a:latin typeface="Arial" pitchFamily="34" charset="0"/>
              <a:ea typeface="+mn-ea"/>
              <a:cs typeface="Arial" pitchFamily="34" charset="0"/>
            </a:rPr>
            <a:t>CO2-e , CO2, CH4, N2O</a:t>
          </a:r>
        </a:p>
        <a:p>
          <a:pPr marL="0" marR="0" indent="0" defTabSz="914400" rtl="0" eaLnBrk="1" fontAlgn="auto" latinLnBrk="0" hangingPunct="1">
            <a:lnSpc>
              <a:spcPct val="100000"/>
            </a:lnSpc>
            <a:spcBef>
              <a:spcPts val="0"/>
            </a:spcBef>
            <a:spcAft>
              <a:spcPts val="0"/>
            </a:spcAft>
            <a:buClrTx/>
            <a:buSzTx/>
            <a:buFontTx/>
            <a:buNone/>
            <a:tabLst/>
            <a:defRPr/>
          </a:pPr>
          <a:endParaRPr lang="en-NZ" sz="1100" baseline="0">
            <a:solidFill>
              <a:schemeClr val="dk1"/>
            </a:solidFill>
            <a:latin typeface="+mn-lt"/>
            <a:ea typeface="+mn-ea"/>
            <a:cs typeface="+mn-cs"/>
          </a:endParaRPr>
        </a:p>
        <a:p>
          <a:pPr marL="0" marR="0" indent="0" defTabSz="914400" rtl="0" eaLnBrk="1" fontAlgn="auto" latinLnBrk="0" hangingPunct="1">
            <a:lnSpc>
              <a:spcPct val="100000"/>
            </a:lnSpc>
            <a:spcBef>
              <a:spcPts val="0"/>
            </a:spcBef>
            <a:spcAft>
              <a:spcPts val="0"/>
            </a:spcAft>
            <a:buClrTx/>
            <a:buSzTx/>
            <a:buFontTx/>
            <a:buNone/>
            <a:tabLst/>
            <a:defRPr/>
          </a:pPr>
          <a:endParaRPr lang="en-NZ"/>
        </a:p>
        <a:p>
          <a:endParaRPr lang="en-NZ" sz="1100"/>
        </a:p>
      </xdr:txBody>
    </xdr:sp>
    <xdr:clientData/>
  </xdr:twoCellAnchor>
  <xdr:twoCellAnchor>
    <xdr:from>
      <xdr:col>12</xdr:col>
      <xdr:colOff>21165</xdr:colOff>
      <xdr:row>20</xdr:row>
      <xdr:rowOff>21167</xdr:rowOff>
    </xdr:from>
    <xdr:to>
      <xdr:col>24</xdr:col>
      <xdr:colOff>201082</xdr:colOff>
      <xdr:row>25</xdr:row>
      <xdr:rowOff>95250</xdr:rowOff>
    </xdr:to>
    <xdr:sp macro="" textlink="">
      <xdr:nvSpPr>
        <xdr:cNvPr id="6" name="TextBox 5">
          <a:hlinkClick xmlns:r="http://schemas.openxmlformats.org/officeDocument/2006/relationships" r:id="rId2" tooltip="Energy in New Zealand 2013 "/>
        </xdr:cNvPr>
        <xdr:cNvSpPr txBox="1"/>
      </xdr:nvSpPr>
      <xdr:spPr>
        <a:xfrm>
          <a:off x="13652498" y="4064000"/>
          <a:ext cx="8096251" cy="122766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rtl="0" eaLnBrk="1" fontAlgn="auto" latinLnBrk="0" hangingPunct="1"/>
          <a:r>
            <a:rPr lang="en-NZ" sz="1000" b="1" u="sng">
              <a:solidFill>
                <a:schemeClr val="dk1"/>
              </a:solidFill>
              <a:latin typeface="Arial" pitchFamily="34" charset="0"/>
              <a:ea typeface="+mn-ea"/>
              <a:cs typeface="Arial" pitchFamily="34" charset="0"/>
            </a:rPr>
            <a:t>Energy</a:t>
          </a:r>
          <a:r>
            <a:rPr lang="en-NZ" sz="1000" b="1" u="sng" baseline="0">
              <a:solidFill>
                <a:schemeClr val="dk1"/>
              </a:solidFill>
              <a:latin typeface="Arial" pitchFamily="34" charset="0"/>
              <a:ea typeface="+mn-ea"/>
              <a:cs typeface="Arial" pitchFamily="34" charset="0"/>
            </a:rPr>
            <a:t> in New Zealand 2013 </a:t>
          </a:r>
          <a:r>
            <a:rPr lang="en-NZ" sz="1000" baseline="0">
              <a:solidFill>
                <a:schemeClr val="dk1"/>
              </a:solidFill>
              <a:latin typeface="Arial" pitchFamily="34" charset="0"/>
              <a:ea typeface="+mn-ea"/>
              <a:cs typeface="Arial" pitchFamily="34" charset="0"/>
            </a:rPr>
            <a:t/>
          </a:r>
          <a:br>
            <a:rPr lang="en-NZ" sz="1000" baseline="0">
              <a:solidFill>
                <a:schemeClr val="dk1"/>
              </a:solidFill>
              <a:latin typeface="Arial" pitchFamily="34" charset="0"/>
              <a:ea typeface="+mn-ea"/>
              <a:cs typeface="Arial" pitchFamily="34" charset="0"/>
            </a:rPr>
          </a:br>
          <a:r>
            <a:rPr lang="en-NZ" sz="1000" baseline="0">
              <a:solidFill>
                <a:schemeClr val="dk1"/>
              </a:solidFill>
              <a:latin typeface="Arial" pitchFamily="34" charset="0"/>
              <a:ea typeface="+mn-ea"/>
              <a:cs typeface="Arial" pitchFamily="34" charset="0"/>
            </a:rPr>
            <a:t>See web table: </a:t>
          </a:r>
          <a:r>
            <a:rPr lang="en-NZ" sz="1000">
              <a:solidFill>
                <a:schemeClr val="dk1"/>
              </a:solidFill>
              <a:latin typeface="Arial" pitchFamily="34" charset="0"/>
              <a:ea typeface="+mn-ea"/>
              <a:cs typeface="Arial" pitchFamily="34" charset="0"/>
            </a:rPr>
            <a:t>Electricity </a:t>
          </a:r>
          <a:endParaRPr lang="en-NZ" sz="1000">
            <a:latin typeface="Arial" pitchFamily="34" charset="0"/>
            <a:cs typeface="Arial" pitchFamily="34" charset="0"/>
          </a:endParaRPr>
        </a:p>
        <a:p>
          <a:r>
            <a:rPr lang="en-NZ" sz="1000">
              <a:solidFill>
                <a:schemeClr val="dk1"/>
              </a:solidFill>
              <a:latin typeface="Arial" pitchFamily="34" charset="0"/>
              <a:ea typeface="+mn-ea"/>
              <a:cs typeface="Arial" pitchFamily="34" charset="0"/>
            </a:rPr>
            <a:t>Table</a:t>
          </a:r>
          <a:r>
            <a:rPr lang="en-NZ" sz="1000" baseline="0">
              <a:solidFill>
                <a:schemeClr val="dk1"/>
              </a:solidFill>
              <a:latin typeface="Arial" pitchFamily="34" charset="0"/>
              <a:ea typeface="+mn-ea"/>
              <a:cs typeface="Arial" pitchFamily="34" charset="0"/>
            </a:rPr>
            <a:t> 5: </a:t>
          </a:r>
          <a:r>
            <a:rPr lang="en-NZ" sz="1000" b="0">
              <a:solidFill>
                <a:schemeClr val="dk1"/>
              </a:solidFill>
              <a:latin typeface="Arial" pitchFamily="34" charset="0"/>
              <a:ea typeface="+mn-ea"/>
              <a:cs typeface="Arial" pitchFamily="34" charset="0"/>
            </a:rPr>
            <a:t>Electricity Supply and Demand Energy Balance (GWh)</a:t>
          </a:r>
          <a:endParaRPr lang="en-NZ" sz="1000">
            <a:latin typeface="Arial" pitchFamily="34" charset="0"/>
            <a:cs typeface="Arial" pitchFamily="34" charset="0"/>
          </a:endParaRPr>
        </a:p>
        <a:p>
          <a:pPr rtl="0" eaLnBrk="1" fontAlgn="auto" latinLnBrk="0" hangingPunct="1"/>
          <a:r>
            <a:rPr lang="en-NZ" sz="1000">
              <a:solidFill>
                <a:schemeClr val="dk1"/>
              </a:solidFill>
              <a:latin typeface="Arial" pitchFamily="34" charset="0"/>
              <a:ea typeface="+mn-ea"/>
              <a:cs typeface="Arial" pitchFamily="34" charset="0"/>
            </a:rPr>
            <a:t>Total Net Production </a:t>
          </a:r>
          <a:br>
            <a:rPr lang="en-NZ" sz="1000">
              <a:solidFill>
                <a:schemeClr val="dk1"/>
              </a:solidFill>
              <a:latin typeface="Arial" pitchFamily="34" charset="0"/>
              <a:ea typeface="+mn-ea"/>
              <a:cs typeface="Arial" pitchFamily="34" charset="0"/>
            </a:rPr>
          </a:br>
          <a:r>
            <a:rPr lang="en-NZ" sz="1000">
              <a:solidFill>
                <a:schemeClr val="dk1"/>
              </a:solidFill>
              <a:latin typeface="Arial" pitchFamily="34" charset="0"/>
              <a:ea typeface="+mn-ea"/>
              <a:cs typeface="Arial" pitchFamily="34" charset="0"/>
            </a:rPr>
            <a:t>Total Electricity Demand (Observed)</a:t>
          </a:r>
          <a:r>
            <a:rPr lang="en-NZ" sz="1000" baseline="0">
              <a:solidFill>
                <a:schemeClr val="dk1"/>
              </a:solidFill>
              <a:latin typeface="Arial" pitchFamily="34" charset="0"/>
              <a:ea typeface="+mn-ea"/>
              <a:cs typeface="Arial" pitchFamily="34" charset="0"/>
            </a:rPr>
            <a:t> </a:t>
          </a:r>
          <a:endParaRPr lang="en-NZ" sz="1000">
            <a:latin typeface="Arial" pitchFamily="34" charset="0"/>
            <a:cs typeface="Arial" pitchFamily="34" charset="0"/>
          </a:endParaRPr>
        </a:p>
        <a:p>
          <a:pPr marL="0" marR="0" indent="0" defTabSz="914400" rtl="0" eaLnBrk="1" fontAlgn="auto" latinLnBrk="0" hangingPunct="1">
            <a:lnSpc>
              <a:spcPct val="100000"/>
            </a:lnSpc>
            <a:spcBef>
              <a:spcPts val="0"/>
            </a:spcBef>
            <a:spcAft>
              <a:spcPts val="0"/>
            </a:spcAft>
            <a:buClrTx/>
            <a:buSzTx/>
            <a:buFontTx/>
            <a:buNone/>
            <a:tabLst/>
            <a:defRPr/>
          </a:pPr>
          <a:endParaRPr lang="en-NZ"/>
        </a:p>
        <a:p>
          <a:endParaRPr lang="en-NZ" sz="11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16</xdr:col>
      <xdr:colOff>0</xdr:colOff>
      <xdr:row>4</xdr:row>
      <xdr:rowOff>0</xdr:rowOff>
    </xdr:from>
    <xdr:to>
      <xdr:col>22</xdr:col>
      <xdr:colOff>352425</xdr:colOff>
      <xdr:row>8</xdr:row>
      <xdr:rowOff>25400</xdr:rowOff>
    </xdr:to>
    <xdr:sp macro="" textlink="">
      <xdr:nvSpPr>
        <xdr:cNvPr id="4" name="TextBox 3"/>
        <xdr:cNvSpPr txBox="1"/>
      </xdr:nvSpPr>
      <xdr:spPr>
        <a:xfrm>
          <a:off x="13477875" y="704850"/>
          <a:ext cx="4010025" cy="12350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NZ" sz="1000" b="1" u="sng">
              <a:latin typeface="Arial" pitchFamily="34" charset="0"/>
              <a:cs typeface="Arial" pitchFamily="34" charset="0"/>
            </a:rPr>
            <a:t>Source: </a:t>
          </a:r>
        </a:p>
        <a:p>
          <a:endParaRPr lang="en-NZ" sz="1000" b="1" u="sng">
            <a:latin typeface="Arial" pitchFamily="34" charset="0"/>
            <a:cs typeface="Arial" pitchFamily="34" charset="0"/>
          </a:endParaRPr>
        </a:p>
        <a:p>
          <a:r>
            <a:rPr lang="en-NZ" sz="1000">
              <a:latin typeface="Arial" pitchFamily="34" charset="0"/>
              <a:cs typeface="Arial" pitchFamily="34" charset="0"/>
            </a:rPr>
            <a:t>Ministry of Business, Innovation and Employment publications</a:t>
          </a:r>
        </a:p>
        <a:p>
          <a:r>
            <a:rPr lang="en-NZ" sz="1000" baseline="0">
              <a:latin typeface="Arial" pitchFamily="34" charset="0"/>
              <a:cs typeface="Arial" pitchFamily="34" charset="0"/>
            </a:rPr>
            <a:t>- NZ</a:t>
          </a:r>
          <a:r>
            <a:rPr lang="en-NZ" sz="1000">
              <a:solidFill>
                <a:schemeClr val="dk1"/>
              </a:solidFill>
              <a:latin typeface="Arial" pitchFamily="34" charset="0"/>
              <a:ea typeface="+mn-ea"/>
              <a:cs typeface="Arial" pitchFamily="34" charset="0"/>
            </a:rPr>
            <a:t> Energy Greenhouse Gas Emissions</a:t>
          </a:r>
          <a:r>
            <a:rPr lang="en-NZ" sz="1000" baseline="0">
              <a:solidFill>
                <a:schemeClr val="dk1"/>
              </a:solidFill>
              <a:latin typeface="Arial" pitchFamily="34" charset="0"/>
              <a:ea typeface="+mn-ea"/>
              <a:cs typeface="Arial" pitchFamily="34" charset="0"/>
            </a:rPr>
            <a:t> </a:t>
          </a:r>
        </a:p>
        <a:p>
          <a:pPr marL="0" marR="0" indent="0" defTabSz="914400" eaLnBrk="1" fontAlgn="auto" latinLnBrk="0" hangingPunct="1">
            <a:lnSpc>
              <a:spcPct val="100000"/>
            </a:lnSpc>
            <a:spcBef>
              <a:spcPts val="0"/>
            </a:spcBef>
            <a:spcAft>
              <a:spcPts val="0"/>
            </a:spcAft>
            <a:buClrTx/>
            <a:buSzTx/>
            <a:buFontTx/>
            <a:buNone/>
            <a:tabLst/>
            <a:defRPr/>
          </a:pPr>
          <a:r>
            <a:rPr lang="en-NZ" sz="1000">
              <a:solidFill>
                <a:schemeClr val="dk1"/>
              </a:solidFill>
              <a:latin typeface="Arial" pitchFamily="34" charset="0"/>
              <a:ea typeface="+mn-ea"/>
              <a:cs typeface="Arial" pitchFamily="34" charset="0"/>
            </a:rPr>
            <a:t>- Energy in New Zealand 2013 </a:t>
          </a:r>
          <a:endParaRPr lang="en-NZ" sz="1000" baseline="0">
            <a:solidFill>
              <a:schemeClr val="dk1"/>
            </a:solidFill>
            <a:latin typeface="Arial" pitchFamily="34" charset="0"/>
            <a:ea typeface="+mn-ea"/>
            <a:cs typeface="Arial" pitchFamily="34" charset="0"/>
          </a:endParaRPr>
        </a:p>
        <a:p>
          <a:endParaRPr lang="en-NZ" sz="1100" b="0"/>
        </a:p>
      </xdr:txBody>
    </xdr:sp>
    <xdr:clientData/>
  </xdr:twoCellAnchor>
  <xdr:twoCellAnchor>
    <xdr:from>
      <xdr:col>16</xdr:col>
      <xdr:colOff>9525</xdr:colOff>
      <xdr:row>9</xdr:row>
      <xdr:rowOff>76200</xdr:rowOff>
    </xdr:from>
    <xdr:to>
      <xdr:col>27</xdr:col>
      <xdr:colOff>193675</xdr:colOff>
      <xdr:row>16</xdr:row>
      <xdr:rowOff>85724</xdr:rowOff>
    </xdr:to>
    <xdr:sp macro="" textlink="">
      <xdr:nvSpPr>
        <xdr:cNvPr id="6" name="TextBox 5">
          <a:hlinkClick xmlns:r="http://schemas.openxmlformats.org/officeDocument/2006/relationships" r:id="rId1" tooltip="NZ Energy Greenhouse Gas Emissions"/>
        </xdr:cNvPr>
        <xdr:cNvSpPr txBox="1"/>
      </xdr:nvSpPr>
      <xdr:spPr>
        <a:xfrm>
          <a:off x="13487400" y="2162175"/>
          <a:ext cx="6889750" cy="114299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en-NZ" sz="1000" b="1" i="0" u="sng" baseline="0">
              <a:solidFill>
                <a:schemeClr val="dk1"/>
              </a:solidFill>
              <a:latin typeface="Arial" pitchFamily="34" charset="0"/>
              <a:ea typeface="+mn-ea"/>
              <a:cs typeface="Arial" pitchFamily="34" charset="0"/>
            </a:rPr>
            <a:t>NZ Energy Greenhouse Gas Emissions </a:t>
          </a:r>
          <a:endParaRPr lang="en-NZ" sz="1000" baseline="0">
            <a:solidFill>
              <a:schemeClr val="dk1"/>
            </a:solidFill>
            <a:latin typeface="Arial" pitchFamily="34" charset="0"/>
            <a:ea typeface="+mn-ea"/>
            <a:cs typeface="Arial" pitchFamily="34" charset="0"/>
          </a:endParaRPr>
        </a:p>
        <a:p>
          <a:pPr marL="0" marR="0" indent="0" defTabSz="914400" rtl="0" eaLnBrk="1" fontAlgn="auto" latinLnBrk="0" hangingPunct="1">
            <a:lnSpc>
              <a:spcPct val="100000"/>
            </a:lnSpc>
            <a:spcBef>
              <a:spcPts val="0"/>
            </a:spcBef>
            <a:spcAft>
              <a:spcPts val="0"/>
            </a:spcAft>
            <a:buClrTx/>
            <a:buSzTx/>
            <a:buFontTx/>
            <a:buNone/>
            <a:tabLst/>
            <a:defRPr/>
          </a:pPr>
          <a:r>
            <a:rPr lang="en-NZ" sz="1000" baseline="0">
              <a:solidFill>
                <a:schemeClr val="dk1"/>
              </a:solidFill>
              <a:latin typeface="Arial" pitchFamily="34" charset="0"/>
              <a:ea typeface="+mn-ea"/>
              <a:cs typeface="Arial" pitchFamily="34" charset="0"/>
            </a:rPr>
            <a:t>See web table: Energy Greenhouse Gas Emissions web tables </a:t>
          </a:r>
          <a:br>
            <a:rPr lang="en-NZ" sz="1000" baseline="0">
              <a:solidFill>
                <a:schemeClr val="dk1"/>
              </a:solidFill>
              <a:latin typeface="Arial" pitchFamily="34" charset="0"/>
              <a:ea typeface="+mn-ea"/>
              <a:cs typeface="Arial" pitchFamily="34" charset="0"/>
            </a:rPr>
          </a:br>
          <a:r>
            <a:rPr lang="en-NZ" sz="1000" baseline="0">
              <a:solidFill>
                <a:schemeClr val="dk1"/>
              </a:solidFill>
              <a:latin typeface="Arial" pitchFamily="34" charset="0"/>
              <a:ea typeface="+mn-ea"/>
              <a:cs typeface="Arial" pitchFamily="34" charset="0"/>
            </a:rPr>
            <a:t>Annual_Emissions</a:t>
          </a:r>
          <a:br>
            <a:rPr lang="en-NZ" sz="1000" baseline="0">
              <a:solidFill>
                <a:schemeClr val="dk1"/>
              </a:solidFill>
              <a:latin typeface="Arial" pitchFamily="34" charset="0"/>
              <a:ea typeface="+mn-ea"/>
              <a:cs typeface="Arial" pitchFamily="34" charset="0"/>
            </a:rPr>
          </a:br>
          <a:r>
            <a:rPr lang="en-NZ" sz="1000" baseline="0">
              <a:solidFill>
                <a:schemeClr val="dk1"/>
              </a:solidFill>
              <a:latin typeface="Arial" pitchFamily="34" charset="0"/>
              <a:ea typeface="+mn-ea"/>
              <a:cs typeface="Arial" pitchFamily="34" charset="0"/>
            </a:rPr>
            <a:t>CO2-e, CO2, CH4, N2O</a:t>
          </a:r>
        </a:p>
        <a:p>
          <a:pPr marL="0" marR="0" indent="0" defTabSz="914400" rtl="0" eaLnBrk="1" fontAlgn="auto" latinLnBrk="0" hangingPunct="1">
            <a:lnSpc>
              <a:spcPct val="100000"/>
            </a:lnSpc>
            <a:spcBef>
              <a:spcPts val="0"/>
            </a:spcBef>
            <a:spcAft>
              <a:spcPts val="0"/>
            </a:spcAft>
            <a:buClrTx/>
            <a:buSzTx/>
            <a:buFontTx/>
            <a:buNone/>
            <a:tabLst/>
            <a:defRPr/>
          </a:pPr>
          <a:endParaRPr lang="en-NZ" sz="1100" baseline="0">
            <a:solidFill>
              <a:schemeClr val="dk1"/>
            </a:solidFill>
            <a:latin typeface="+mn-lt"/>
            <a:ea typeface="+mn-ea"/>
            <a:cs typeface="+mn-cs"/>
          </a:endParaRPr>
        </a:p>
        <a:p>
          <a:pPr marL="0" marR="0" indent="0" defTabSz="914400" rtl="0" eaLnBrk="1" fontAlgn="auto" latinLnBrk="0" hangingPunct="1">
            <a:lnSpc>
              <a:spcPct val="100000"/>
            </a:lnSpc>
            <a:spcBef>
              <a:spcPts val="0"/>
            </a:spcBef>
            <a:spcAft>
              <a:spcPts val="0"/>
            </a:spcAft>
            <a:buClrTx/>
            <a:buSzTx/>
            <a:buFontTx/>
            <a:buNone/>
            <a:tabLst/>
            <a:defRPr/>
          </a:pPr>
          <a:endParaRPr lang="en-NZ"/>
        </a:p>
        <a:p>
          <a:endParaRPr lang="en-NZ" sz="1100"/>
        </a:p>
      </xdr:txBody>
    </xdr:sp>
    <xdr:clientData/>
  </xdr:twoCellAnchor>
  <xdr:twoCellAnchor>
    <xdr:from>
      <xdr:col>16</xdr:col>
      <xdr:colOff>1056</xdr:colOff>
      <xdr:row>16</xdr:row>
      <xdr:rowOff>140757</xdr:rowOff>
    </xdr:from>
    <xdr:to>
      <xdr:col>27</xdr:col>
      <xdr:colOff>185206</xdr:colOff>
      <xdr:row>23</xdr:row>
      <xdr:rowOff>129115</xdr:rowOff>
    </xdr:to>
    <xdr:sp macro="" textlink="">
      <xdr:nvSpPr>
        <xdr:cNvPr id="7" name="TextBox 6">
          <a:hlinkClick xmlns:r="http://schemas.openxmlformats.org/officeDocument/2006/relationships" r:id="rId2" tooltip="Energy in New Zealand 2013"/>
        </xdr:cNvPr>
        <xdr:cNvSpPr txBox="1"/>
      </xdr:nvSpPr>
      <xdr:spPr>
        <a:xfrm>
          <a:off x="13478931" y="3360207"/>
          <a:ext cx="6889750" cy="112183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rtl="0" eaLnBrk="1" fontAlgn="auto" latinLnBrk="0" hangingPunct="1"/>
          <a:r>
            <a:rPr lang="en-NZ" sz="1000" b="1" u="sng">
              <a:solidFill>
                <a:schemeClr val="dk1"/>
              </a:solidFill>
              <a:latin typeface="Arial" pitchFamily="34" charset="0"/>
              <a:ea typeface="+mn-ea"/>
              <a:cs typeface="Arial" pitchFamily="34" charset="0"/>
            </a:rPr>
            <a:t>Energy</a:t>
          </a:r>
          <a:r>
            <a:rPr lang="en-NZ" sz="1000" b="1" u="sng" baseline="0">
              <a:solidFill>
                <a:schemeClr val="dk1"/>
              </a:solidFill>
              <a:latin typeface="Arial" pitchFamily="34" charset="0"/>
              <a:ea typeface="+mn-ea"/>
              <a:cs typeface="Arial" pitchFamily="34" charset="0"/>
            </a:rPr>
            <a:t> in New Zealand 2013 </a:t>
          </a:r>
          <a:r>
            <a:rPr lang="en-NZ" sz="1000" baseline="0">
              <a:solidFill>
                <a:schemeClr val="dk1"/>
              </a:solidFill>
              <a:latin typeface="Arial" pitchFamily="34" charset="0"/>
              <a:ea typeface="+mn-ea"/>
              <a:cs typeface="Arial" pitchFamily="34" charset="0"/>
            </a:rPr>
            <a:t/>
          </a:r>
          <a:br>
            <a:rPr lang="en-NZ" sz="1000" baseline="0">
              <a:solidFill>
                <a:schemeClr val="dk1"/>
              </a:solidFill>
              <a:latin typeface="Arial" pitchFamily="34" charset="0"/>
              <a:ea typeface="+mn-ea"/>
              <a:cs typeface="Arial" pitchFamily="34" charset="0"/>
            </a:rPr>
          </a:br>
          <a:r>
            <a:rPr lang="en-NZ" sz="1000" baseline="0">
              <a:solidFill>
                <a:schemeClr val="dk1"/>
              </a:solidFill>
              <a:latin typeface="Arial" pitchFamily="34" charset="0"/>
              <a:ea typeface="+mn-ea"/>
              <a:cs typeface="Arial" pitchFamily="34" charset="0"/>
            </a:rPr>
            <a:t>See web table: </a:t>
          </a:r>
          <a:r>
            <a:rPr lang="en-NZ" sz="1000">
              <a:solidFill>
                <a:schemeClr val="dk1"/>
              </a:solidFill>
              <a:latin typeface="Arial" pitchFamily="34" charset="0"/>
              <a:ea typeface="+mn-ea"/>
              <a:cs typeface="Arial" pitchFamily="34" charset="0"/>
            </a:rPr>
            <a:t>Electricity </a:t>
          </a:r>
          <a:endParaRPr lang="en-NZ" sz="1000">
            <a:latin typeface="Arial" pitchFamily="34" charset="0"/>
            <a:cs typeface="Arial" pitchFamily="34" charset="0"/>
          </a:endParaRPr>
        </a:p>
        <a:p>
          <a:r>
            <a:rPr lang="en-NZ" sz="1000">
              <a:solidFill>
                <a:schemeClr val="dk1"/>
              </a:solidFill>
              <a:latin typeface="Arial" pitchFamily="34" charset="0"/>
              <a:ea typeface="+mn-ea"/>
              <a:cs typeface="Arial" pitchFamily="34" charset="0"/>
            </a:rPr>
            <a:t>Table</a:t>
          </a:r>
          <a:r>
            <a:rPr lang="en-NZ" sz="1000" baseline="0">
              <a:solidFill>
                <a:schemeClr val="dk1"/>
              </a:solidFill>
              <a:latin typeface="Arial" pitchFamily="34" charset="0"/>
              <a:ea typeface="+mn-ea"/>
              <a:cs typeface="Arial" pitchFamily="34" charset="0"/>
            </a:rPr>
            <a:t> 5: </a:t>
          </a:r>
          <a:r>
            <a:rPr lang="en-NZ" sz="1000" b="0">
              <a:solidFill>
                <a:schemeClr val="dk1"/>
              </a:solidFill>
              <a:latin typeface="Arial" pitchFamily="34" charset="0"/>
              <a:ea typeface="+mn-ea"/>
              <a:cs typeface="Arial" pitchFamily="34" charset="0"/>
            </a:rPr>
            <a:t>Electricity Supply and Demand Energy Balance (GWh)</a:t>
          </a:r>
          <a:endParaRPr lang="en-NZ" sz="1000">
            <a:latin typeface="Arial" pitchFamily="34" charset="0"/>
            <a:cs typeface="Arial" pitchFamily="34" charset="0"/>
          </a:endParaRPr>
        </a:p>
        <a:p>
          <a:pPr rtl="0" eaLnBrk="1" fontAlgn="auto" latinLnBrk="0" hangingPunct="1"/>
          <a:r>
            <a:rPr lang="en-NZ" sz="1000">
              <a:solidFill>
                <a:schemeClr val="dk1"/>
              </a:solidFill>
              <a:latin typeface="Arial" pitchFamily="34" charset="0"/>
              <a:ea typeface="+mn-ea"/>
              <a:cs typeface="Arial" pitchFamily="34" charset="0"/>
            </a:rPr>
            <a:t>Total Net Production </a:t>
          </a:r>
          <a:br>
            <a:rPr lang="en-NZ" sz="1000">
              <a:solidFill>
                <a:schemeClr val="dk1"/>
              </a:solidFill>
              <a:latin typeface="Arial" pitchFamily="34" charset="0"/>
              <a:ea typeface="+mn-ea"/>
              <a:cs typeface="Arial" pitchFamily="34" charset="0"/>
            </a:rPr>
          </a:br>
          <a:r>
            <a:rPr lang="en-NZ" sz="1000">
              <a:solidFill>
                <a:schemeClr val="dk1"/>
              </a:solidFill>
              <a:latin typeface="Arial" pitchFamily="34" charset="0"/>
              <a:ea typeface="+mn-ea"/>
              <a:cs typeface="Arial" pitchFamily="34" charset="0"/>
            </a:rPr>
            <a:t>Total Electricity Demand (Observed)</a:t>
          </a:r>
          <a:r>
            <a:rPr lang="en-NZ" sz="1000" baseline="0">
              <a:solidFill>
                <a:schemeClr val="dk1"/>
              </a:solidFill>
              <a:latin typeface="Arial" pitchFamily="34" charset="0"/>
              <a:ea typeface="+mn-ea"/>
              <a:cs typeface="Arial" pitchFamily="34" charset="0"/>
            </a:rPr>
            <a:t> </a:t>
          </a:r>
          <a:endParaRPr lang="en-NZ" sz="1000">
            <a:latin typeface="Arial" pitchFamily="34" charset="0"/>
            <a:cs typeface="Arial" pitchFamily="34" charset="0"/>
          </a:endParaRPr>
        </a:p>
        <a:p>
          <a:pPr marL="0" marR="0" indent="0" defTabSz="914400" rtl="0" eaLnBrk="1" fontAlgn="auto" latinLnBrk="0" hangingPunct="1">
            <a:lnSpc>
              <a:spcPct val="100000"/>
            </a:lnSpc>
            <a:spcBef>
              <a:spcPts val="0"/>
            </a:spcBef>
            <a:spcAft>
              <a:spcPts val="0"/>
            </a:spcAft>
            <a:buClrTx/>
            <a:buSzTx/>
            <a:buFontTx/>
            <a:buNone/>
            <a:tabLst/>
            <a:defRPr/>
          </a:pPr>
          <a:endParaRPr lang="en-NZ"/>
        </a:p>
        <a:p>
          <a:endParaRPr lang="en-NZ" sz="1100"/>
        </a:p>
      </xdr:txBody>
    </xdr:sp>
    <xdr:clientData/>
  </xdr:twoCellAnchor>
  <xdr:twoCellAnchor>
    <xdr:from>
      <xdr:col>13</xdr:col>
      <xdr:colOff>303441</xdr:colOff>
      <xdr:row>39</xdr:row>
      <xdr:rowOff>44904</xdr:rowOff>
    </xdr:from>
    <xdr:to>
      <xdr:col>24</xdr:col>
      <xdr:colOff>548369</xdr:colOff>
      <xdr:row>45</xdr:row>
      <xdr:rowOff>4082</xdr:rowOff>
    </xdr:to>
    <xdr:sp macro="" textlink="">
      <xdr:nvSpPr>
        <xdr:cNvPr id="8" name="TextBox 7">
          <a:hlinkClick xmlns:r="http://schemas.openxmlformats.org/officeDocument/2006/relationships" r:id="rId2"/>
        </xdr:cNvPr>
        <xdr:cNvSpPr txBox="1"/>
      </xdr:nvSpPr>
      <xdr:spPr>
        <a:xfrm>
          <a:off x="11952516" y="7807779"/>
          <a:ext cx="6950528" cy="94025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en-NZ" sz="1000" b="1" u="sng">
              <a:solidFill>
                <a:schemeClr val="dk1"/>
              </a:solidFill>
              <a:latin typeface="Arial" pitchFamily="34" charset="0"/>
              <a:ea typeface="+mn-ea"/>
              <a:cs typeface="Arial" pitchFamily="34" charset="0"/>
            </a:rPr>
            <a:t>Energy</a:t>
          </a:r>
          <a:r>
            <a:rPr lang="en-NZ" sz="1000" b="1" u="sng" baseline="0">
              <a:solidFill>
                <a:schemeClr val="dk1"/>
              </a:solidFill>
              <a:latin typeface="Arial" pitchFamily="34" charset="0"/>
              <a:ea typeface="+mn-ea"/>
              <a:cs typeface="Arial" pitchFamily="34" charset="0"/>
            </a:rPr>
            <a:t> in New Zealand 2013</a:t>
          </a:r>
          <a:r>
            <a:rPr lang="en-NZ" sz="1000" baseline="0">
              <a:solidFill>
                <a:schemeClr val="dk1"/>
              </a:solidFill>
              <a:latin typeface="Arial" pitchFamily="34" charset="0"/>
              <a:ea typeface="+mn-ea"/>
              <a:cs typeface="Arial" pitchFamily="34" charset="0"/>
            </a:rPr>
            <a:t/>
          </a:r>
          <a:br>
            <a:rPr lang="en-NZ" sz="1000" baseline="0">
              <a:solidFill>
                <a:schemeClr val="dk1"/>
              </a:solidFill>
              <a:latin typeface="Arial" pitchFamily="34" charset="0"/>
              <a:ea typeface="+mn-ea"/>
              <a:cs typeface="Arial" pitchFamily="34" charset="0"/>
            </a:rPr>
          </a:br>
          <a:r>
            <a:rPr lang="en-NZ" sz="1000">
              <a:solidFill>
                <a:schemeClr val="dk1"/>
              </a:solidFill>
              <a:latin typeface="Arial" pitchFamily="34" charset="0"/>
              <a:ea typeface="+mn-ea"/>
              <a:cs typeface="Arial" pitchFamily="34" charset="0"/>
            </a:rPr>
            <a:t>Figure D.17: Gas Consumption by Region for 2011 (Gross TJ)</a:t>
          </a:r>
          <a:br>
            <a:rPr lang="en-NZ" sz="1000">
              <a:solidFill>
                <a:schemeClr val="dk1"/>
              </a:solidFill>
              <a:latin typeface="Arial" pitchFamily="34" charset="0"/>
              <a:ea typeface="+mn-ea"/>
              <a:cs typeface="Arial" pitchFamily="34" charset="0"/>
            </a:rPr>
          </a:br>
          <a:r>
            <a:rPr lang="en-NZ" sz="1000">
              <a:solidFill>
                <a:schemeClr val="dk1"/>
              </a:solidFill>
              <a:latin typeface="Arial" pitchFamily="34" charset="0"/>
              <a:ea typeface="+mn-ea"/>
              <a:cs typeface="Arial" pitchFamily="34" charset="0"/>
            </a:rPr>
            <a:t>Page</a:t>
          </a:r>
          <a:r>
            <a:rPr lang="en-NZ" sz="1000" baseline="0">
              <a:solidFill>
                <a:schemeClr val="dk1"/>
              </a:solidFill>
              <a:latin typeface="Arial" pitchFamily="34" charset="0"/>
              <a:ea typeface="+mn-ea"/>
              <a:cs typeface="Arial" pitchFamily="34" charset="0"/>
            </a:rPr>
            <a:t>  53</a:t>
          </a:r>
          <a:endParaRPr lang="en-NZ" sz="1000">
            <a:solidFill>
              <a:schemeClr val="dk1"/>
            </a:solidFill>
            <a:latin typeface="Arial" pitchFamily="34" charset="0"/>
            <a:ea typeface="+mn-ea"/>
            <a:cs typeface="Arial" pitchFamily="34" charset="0"/>
          </a:endParaRPr>
        </a:p>
        <a:p>
          <a:endParaRPr lang="en-NZ" sz="1100"/>
        </a:p>
      </xdr:txBody>
    </xdr:sp>
    <xdr:clientData/>
  </xdr:twoCellAnchor>
  <xdr:twoCellAnchor>
    <xdr:from>
      <xdr:col>13</xdr:col>
      <xdr:colOff>304800</xdr:colOff>
      <xdr:row>33</xdr:row>
      <xdr:rowOff>6803</xdr:rowOff>
    </xdr:from>
    <xdr:to>
      <xdr:col>24</xdr:col>
      <xdr:colOff>523876</xdr:colOff>
      <xdr:row>38</xdr:row>
      <xdr:rowOff>97972</xdr:rowOff>
    </xdr:to>
    <xdr:sp macro="" textlink="">
      <xdr:nvSpPr>
        <xdr:cNvPr id="9" name="TextBox 8">
          <a:hlinkClick xmlns:r="http://schemas.openxmlformats.org/officeDocument/2006/relationships" r:id="rId1" tooltip="NZ Energy Greenhouse Gas Emissions"/>
        </xdr:cNvPr>
        <xdr:cNvSpPr txBox="1"/>
      </xdr:nvSpPr>
      <xdr:spPr>
        <a:xfrm>
          <a:off x="11953875" y="6588578"/>
          <a:ext cx="6924676" cy="111034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rtl="0" eaLnBrk="1" fontAlgn="auto" latinLnBrk="0" hangingPunct="1"/>
          <a:r>
            <a:rPr lang="en-NZ" sz="1000" b="1" i="0" u="sng" baseline="0">
              <a:solidFill>
                <a:schemeClr val="dk1"/>
              </a:solidFill>
              <a:latin typeface="Arial" pitchFamily="34" charset="0"/>
              <a:ea typeface="+mn-ea"/>
              <a:cs typeface="Arial" pitchFamily="34" charset="0"/>
            </a:rPr>
            <a:t>NZ Energy Greenhouse Gas Emissions </a:t>
          </a:r>
          <a:endParaRPr lang="en-NZ" sz="1000">
            <a:latin typeface="Arial" pitchFamily="34" charset="0"/>
            <a:cs typeface="Arial" pitchFamily="34" charset="0"/>
          </a:endParaRPr>
        </a:p>
        <a:p>
          <a:pPr rtl="0" eaLnBrk="1" fontAlgn="auto" latinLnBrk="0" hangingPunct="1"/>
          <a:r>
            <a:rPr lang="en-NZ" sz="1000" baseline="0">
              <a:solidFill>
                <a:schemeClr val="dk1"/>
              </a:solidFill>
              <a:latin typeface="Arial" pitchFamily="34" charset="0"/>
              <a:ea typeface="+mn-ea"/>
              <a:cs typeface="Arial" pitchFamily="34" charset="0"/>
            </a:rPr>
            <a:t>See web table: Energy Greenhouse Gas Emissions webtables </a:t>
          </a:r>
          <a:br>
            <a:rPr lang="en-NZ" sz="1000" baseline="0">
              <a:solidFill>
                <a:schemeClr val="dk1"/>
              </a:solidFill>
              <a:latin typeface="Arial" pitchFamily="34" charset="0"/>
              <a:ea typeface="+mn-ea"/>
              <a:cs typeface="Arial" pitchFamily="34" charset="0"/>
            </a:rPr>
          </a:br>
          <a:r>
            <a:rPr lang="en-NZ" sz="1000" baseline="0">
              <a:solidFill>
                <a:schemeClr val="dk1"/>
              </a:solidFill>
              <a:latin typeface="Arial" pitchFamily="34" charset="0"/>
              <a:ea typeface="+mn-ea"/>
              <a:cs typeface="Arial" pitchFamily="34" charset="0"/>
            </a:rPr>
            <a:t>Annual_Emissions</a:t>
          </a:r>
          <a:br>
            <a:rPr lang="en-NZ" sz="1000" baseline="0">
              <a:solidFill>
                <a:schemeClr val="dk1"/>
              </a:solidFill>
              <a:latin typeface="Arial" pitchFamily="34" charset="0"/>
              <a:ea typeface="+mn-ea"/>
              <a:cs typeface="Arial" pitchFamily="34" charset="0"/>
            </a:rPr>
          </a:br>
          <a:r>
            <a:rPr lang="en-NZ" sz="1000" baseline="0">
              <a:solidFill>
                <a:schemeClr val="dk1"/>
              </a:solidFill>
              <a:latin typeface="Arial" pitchFamily="34" charset="0"/>
              <a:ea typeface="+mn-ea"/>
              <a:cs typeface="Arial" pitchFamily="34" charset="0"/>
            </a:rPr>
            <a:t>CO2-e, CO2, CH4, N2O</a:t>
          </a:r>
          <a:endParaRPr lang="en-NZ" sz="1000">
            <a:latin typeface="Arial" pitchFamily="34" charset="0"/>
            <a:cs typeface="Arial" pitchFamily="34" charset="0"/>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7</xdr:col>
      <xdr:colOff>600075</xdr:colOff>
      <xdr:row>3</xdr:row>
      <xdr:rowOff>9525</xdr:rowOff>
    </xdr:from>
    <xdr:to>
      <xdr:col>9</xdr:col>
      <xdr:colOff>0</xdr:colOff>
      <xdr:row>4</xdr:row>
      <xdr:rowOff>85725</xdr:rowOff>
    </xdr:to>
    <xdr:sp macro="" textlink="">
      <xdr:nvSpPr>
        <xdr:cNvPr id="2" name="TextBox 1"/>
        <xdr:cNvSpPr txBox="1"/>
      </xdr:nvSpPr>
      <xdr:spPr>
        <a:xfrm>
          <a:off x="8782050" y="495300"/>
          <a:ext cx="4305300" cy="7429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NZ" sz="1000" b="1" u="sng">
              <a:latin typeface="Arial" pitchFamily="34" charset="0"/>
              <a:cs typeface="Arial" pitchFamily="34" charset="0"/>
            </a:rPr>
            <a:t>Source: </a:t>
          </a:r>
        </a:p>
        <a:p>
          <a:endParaRPr lang="en-NZ" sz="1000" b="1" u="sng">
            <a:latin typeface="Arial" pitchFamily="34" charset="0"/>
            <a:cs typeface="Arial" pitchFamily="34" charset="0"/>
          </a:endParaRPr>
        </a:p>
        <a:p>
          <a:r>
            <a:rPr lang="en-NZ" sz="1000">
              <a:latin typeface="Arial" pitchFamily="34" charset="0"/>
              <a:cs typeface="Arial" pitchFamily="34" charset="0"/>
            </a:rPr>
            <a:t>Real world petrol use - Ministry</a:t>
          </a:r>
          <a:r>
            <a:rPr lang="en-NZ" sz="1000" baseline="0">
              <a:latin typeface="Arial" pitchFamily="34" charset="0"/>
              <a:cs typeface="Arial" pitchFamily="34" charset="0"/>
            </a:rPr>
            <a:t> of Transport</a:t>
          </a:r>
        </a:p>
        <a:p>
          <a:r>
            <a:rPr lang="en-NZ" sz="1000" baseline="0">
              <a:latin typeface="Arial" pitchFamily="34" charset="0"/>
              <a:cs typeface="Arial" pitchFamily="34" charset="0"/>
            </a:rPr>
            <a:t>National average tariff - Taxicharge</a:t>
          </a:r>
          <a:endParaRPr lang="en-NZ" sz="1000">
            <a:latin typeface="Arial" pitchFamily="34" charset="0"/>
            <a:cs typeface="Arial" pitchFamily="34" charset="0"/>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677183</xdr:colOff>
      <xdr:row>29</xdr:row>
      <xdr:rowOff>144843</xdr:rowOff>
    </xdr:from>
    <xdr:to>
      <xdr:col>8</xdr:col>
      <xdr:colOff>603250</xdr:colOff>
      <xdr:row>48</xdr:row>
      <xdr:rowOff>31750</xdr:rowOff>
    </xdr:to>
    <xdr:sp macro="" textlink="">
      <xdr:nvSpPr>
        <xdr:cNvPr id="3" name="TextBox 2"/>
        <xdr:cNvSpPr txBox="1"/>
      </xdr:nvSpPr>
      <xdr:spPr>
        <a:xfrm>
          <a:off x="677183" y="6008010"/>
          <a:ext cx="10265984" cy="290315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NZ" sz="1000" b="1" u="sng">
              <a:latin typeface="Arial" pitchFamily="34" charset="0"/>
              <a:cs typeface="Arial" pitchFamily="34" charset="0"/>
            </a:rPr>
            <a:t>Notes</a:t>
          </a:r>
          <a:r>
            <a:rPr lang="en-NZ" sz="1000" b="1" u="sng" baseline="0">
              <a:latin typeface="Arial" pitchFamily="34" charset="0"/>
              <a:cs typeface="Arial" pitchFamily="34" charset="0"/>
            </a:rPr>
            <a:t> from DEFRA</a:t>
          </a:r>
          <a:endParaRPr lang="en-NZ" sz="1000" b="1" u="sng">
            <a:latin typeface="Arial" pitchFamily="34" charset="0"/>
            <a:cs typeface="Arial" pitchFamily="34" charset="0"/>
          </a:endParaRPr>
        </a:p>
        <a:p>
          <a:endParaRPr lang="en-NZ" sz="1000">
            <a:latin typeface="Arial" pitchFamily="34" charset="0"/>
            <a:cs typeface="Arial" pitchFamily="34" charset="0"/>
          </a:endParaRPr>
        </a:p>
        <a:p>
          <a:r>
            <a:rPr lang="en-NZ" sz="1000" b="1" i="0" u="none" strike="noStrike">
              <a:solidFill>
                <a:schemeClr val="dk1"/>
              </a:solidFill>
              <a:effectLst/>
              <a:latin typeface="Arial" pitchFamily="34" charset="0"/>
              <a:ea typeface="+mn-ea"/>
              <a:cs typeface="Arial" pitchFamily="34" charset="0"/>
            </a:rPr>
            <a:t>How do you define domestic, short-haul and long-haul flights?</a:t>
          </a:r>
          <a:r>
            <a:rPr lang="en-NZ" sz="1000">
              <a:latin typeface="Arial" pitchFamily="34" charset="0"/>
              <a:cs typeface="Arial" pitchFamily="34" charset="0"/>
            </a:rPr>
            <a:t> </a:t>
          </a:r>
        </a:p>
        <a:p>
          <a:endParaRPr lang="en-NZ" sz="1000" b="0" i="1" u="none" strike="noStrike">
            <a:solidFill>
              <a:schemeClr val="dk1"/>
            </a:solidFill>
            <a:effectLst/>
            <a:latin typeface="Arial" pitchFamily="34" charset="0"/>
            <a:ea typeface="+mn-ea"/>
            <a:cs typeface="Arial" pitchFamily="34" charset="0"/>
          </a:endParaRPr>
        </a:p>
        <a:p>
          <a:r>
            <a:rPr lang="en-NZ" sz="1000" b="0" i="1" u="none" strike="noStrike">
              <a:solidFill>
                <a:schemeClr val="dk1"/>
              </a:solidFill>
              <a:effectLst/>
              <a:latin typeface="Arial" pitchFamily="34" charset="0"/>
              <a:ea typeface="+mn-ea"/>
              <a:cs typeface="Arial" pitchFamily="34" charset="0"/>
            </a:rPr>
            <a:t>Broadly speaking the definition of domestic flights, are those within the UK, short-haul are those within Europe and long-haul are outside of Europe. </a:t>
          </a:r>
        </a:p>
        <a:p>
          <a:r>
            <a:rPr lang="en-NZ" sz="1000">
              <a:latin typeface="Arial" pitchFamily="34" charset="0"/>
              <a:cs typeface="Arial" pitchFamily="34" charset="0"/>
            </a:rPr>
            <a:t> </a:t>
          </a:r>
        </a:p>
        <a:p>
          <a:r>
            <a:rPr lang="en-NZ" sz="1000" b="1" i="0" u="none" strike="noStrike">
              <a:solidFill>
                <a:schemeClr val="dk1"/>
              </a:solidFill>
              <a:effectLst/>
              <a:latin typeface="Arial" pitchFamily="34" charset="0"/>
              <a:ea typeface="+mn-ea"/>
              <a:cs typeface="Arial" pitchFamily="34" charset="0"/>
            </a:rPr>
            <a:t>Why is the impact of flying in business class higher than economy?</a:t>
          </a:r>
        </a:p>
        <a:p>
          <a:endParaRPr lang="en-NZ" sz="1000" b="1" i="0" u="none" strike="noStrike">
            <a:solidFill>
              <a:schemeClr val="dk1"/>
            </a:solidFill>
            <a:effectLst/>
            <a:latin typeface="Arial" pitchFamily="34" charset="0"/>
            <a:ea typeface="+mn-ea"/>
            <a:cs typeface="Arial" pitchFamily="34" charset="0"/>
          </a:endParaRPr>
        </a:p>
        <a:p>
          <a:r>
            <a:rPr lang="en-NZ" sz="1000">
              <a:latin typeface="Arial" pitchFamily="34" charset="0"/>
              <a:cs typeface="Arial" pitchFamily="34" charset="0"/>
            </a:rPr>
            <a:t> </a:t>
          </a:r>
          <a:r>
            <a:rPr lang="en-NZ" sz="1000" b="0" i="1" u="none" strike="noStrike">
              <a:solidFill>
                <a:schemeClr val="dk1"/>
              </a:solidFill>
              <a:effectLst/>
              <a:latin typeface="Arial" pitchFamily="34" charset="0"/>
              <a:ea typeface="+mn-ea"/>
              <a:cs typeface="Arial" pitchFamily="34" charset="0"/>
            </a:rPr>
            <a:t>Air travel factors are calculated on the basis of the area of the plane each passenger takes up.  If a plane is comprised totally of business class seats as opposed to more closely packed economy class seats, fewer passengers can fly and therefore each passenger takes a larger share of the emissions.</a:t>
          </a:r>
        </a:p>
        <a:p>
          <a:endParaRPr lang="en-NZ" sz="1000" b="0" i="1" u="none" strike="noStrike">
            <a:solidFill>
              <a:schemeClr val="dk1"/>
            </a:solidFill>
            <a:effectLst/>
            <a:latin typeface="Arial" pitchFamily="34" charset="0"/>
            <a:ea typeface="+mn-ea"/>
            <a:cs typeface="Arial" pitchFamily="34" charset="0"/>
          </a:endParaRPr>
        </a:p>
        <a:p>
          <a:r>
            <a:rPr lang="en-NZ" sz="1000" b="1" i="0" u="none" strike="noStrike">
              <a:solidFill>
                <a:schemeClr val="dk1"/>
              </a:solidFill>
              <a:effectLst/>
              <a:latin typeface="Arial" pitchFamily="34" charset="0"/>
              <a:ea typeface="+mn-ea"/>
              <a:cs typeface="Arial" pitchFamily="34" charset="0"/>
            </a:rPr>
            <a:t>Our organisation only has data on spend, how can I use this to calculate our air travel?</a:t>
          </a:r>
          <a:r>
            <a:rPr lang="en-NZ" sz="1000">
              <a:latin typeface="Arial" pitchFamily="34" charset="0"/>
              <a:cs typeface="Arial" pitchFamily="34" charset="0"/>
            </a:rPr>
            <a:t> </a:t>
          </a:r>
        </a:p>
        <a:p>
          <a:endParaRPr lang="en-NZ" sz="1000" b="0" i="1" u="none" strike="noStrike">
            <a:solidFill>
              <a:schemeClr val="dk1"/>
            </a:solidFill>
            <a:effectLst/>
            <a:latin typeface="Arial" pitchFamily="34" charset="0"/>
            <a:ea typeface="+mn-ea"/>
            <a:cs typeface="Arial" pitchFamily="34" charset="0"/>
          </a:endParaRPr>
        </a:p>
        <a:p>
          <a:r>
            <a:rPr lang="en-NZ" sz="1000" b="0" i="1" u="none" strike="noStrike">
              <a:solidFill>
                <a:schemeClr val="dk1"/>
              </a:solidFill>
              <a:effectLst/>
              <a:latin typeface="Arial" pitchFamily="34" charset="0"/>
              <a:ea typeface="+mn-ea"/>
              <a:cs typeface="Arial" pitchFamily="34" charset="0"/>
            </a:rPr>
            <a:t>At this time there are no confirmed industry benchmarks that provide accurate CO2e/£ spend data for air travel.  We recommend that organisations improve their data collection processes so that they can report on distance (for which CO</a:t>
          </a:r>
          <a:r>
            <a:rPr lang="en-NZ" sz="1000" b="0" i="1" u="none" strike="noStrike" baseline="-25000">
              <a:solidFill>
                <a:schemeClr val="dk1"/>
              </a:solidFill>
              <a:effectLst/>
              <a:latin typeface="Arial" pitchFamily="34" charset="0"/>
              <a:ea typeface="+mn-ea"/>
              <a:cs typeface="Arial" pitchFamily="34" charset="0"/>
            </a:rPr>
            <a:t>2</a:t>
          </a:r>
          <a:r>
            <a:rPr lang="en-NZ" sz="1000" b="0" i="1" u="none" strike="noStrike">
              <a:solidFill>
                <a:schemeClr val="dk1"/>
              </a:solidFill>
              <a:effectLst/>
              <a:latin typeface="Arial" pitchFamily="34" charset="0"/>
              <a:ea typeface="+mn-ea"/>
              <a:cs typeface="Arial" pitchFamily="34" charset="0"/>
            </a:rPr>
            <a:t>e/km figures are available).  Alternatively, organisations may over a number of years collect their own data and generate their own benchmarks.</a:t>
          </a:r>
          <a:r>
            <a:rPr lang="en-NZ" sz="1000">
              <a:latin typeface="Arial" pitchFamily="34" charset="0"/>
              <a:cs typeface="Arial" pitchFamily="34" charset="0"/>
            </a:rPr>
            <a:t> </a:t>
          </a:r>
        </a:p>
        <a:p>
          <a:endParaRPr lang="en-NZ" sz="1100"/>
        </a:p>
      </xdr:txBody>
    </xdr:sp>
    <xdr:clientData/>
  </xdr:twoCellAnchor>
  <xdr:twoCellAnchor>
    <xdr:from>
      <xdr:col>10</xdr:col>
      <xdr:colOff>21167</xdr:colOff>
      <xdr:row>16</xdr:row>
      <xdr:rowOff>10582</xdr:rowOff>
    </xdr:from>
    <xdr:to>
      <xdr:col>19</xdr:col>
      <xdr:colOff>359833</xdr:colOff>
      <xdr:row>33</xdr:row>
      <xdr:rowOff>127000</xdr:rowOff>
    </xdr:to>
    <xdr:sp macro="" textlink="">
      <xdr:nvSpPr>
        <xdr:cNvPr id="4" name="TextBox 3">
          <a:hlinkClick xmlns:r="http://schemas.openxmlformats.org/officeDocument/2006/relationships" r:id="rId1" tooltip="Methodology paper"/>
        </xdr:cNvPr>
        <xdr:cNvSpPr txBox="1"/>
      </xdr:nvSpPr>
      <xdr:spPr>
        <a:xfrm>
          <a:off x="11842750" y="3005665"/>
          <a:ext cx="8075083" cy="333375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NZ" sz="1000" b="1" u="sng">
              <a:solidFill>
                <a:schemeClr val="dk1"/>
              </a:solidFill>
              <a:latin typeface="Arial" pitchFamily="34" charset="0"/>
              <a:ea typeface="+mn-ea"/>
              <a:cs typeface="Arial" pitchFamily="34" charset="0"/>
            </a:rPr>
            <a:t>Note: </a:t>
          </a:r>
          <a:endParaRPr lang="en-NZ" sz="1000">
            <a:solidFill>
              <a:schemeClr val="dk1"/>
            </a:solidFill>
            <a:latin typeface="Arial" pitchFamily="34" charset="0"/>
            <a:ea typeface="+mn-ea"/>
            <a:cs typeface="Arial" pitchFamily="34" charset="0"/>
          </a:endParaRPr>
        </a:p>
        <a:p>
          <a:r>
            <a:rPr lang="en-NZ" sz="1000">
              <a:solidFill>
                <a:schemeClr val="dk1"/>
              </a:solidFill>
              <a:latin typeface="Arial" pitchFamily="34" charset="0"/>
              <a:ea typeface="+mn-ea"/>
              <a:cs typeface="Arial" pitchFamily="34" charset="0"/>
            </a:rPr>
            <a:t/>
          </a:r>
          <a:br>
            <a:rPr lang="en-NZ" sz="1000">
              <a:solidFill>
                <a:schemeClr val="dk1"/>
              </a:solidFill>
              <a:latin typeface="Arial" pitchFamily="34" charset="0"/>
              <a:ea typeface="+mn-ea"/>
              <a:cs typeface="Arial" pitchFamily="34" charset="0"/>
            </a:rPr>
          </a:br>
          <a:r>
            <a:rPr lang="en-NZ" sz="1000">
              <a:solidFill>
                <a:schemeClr val="dk1"/>
              </a:solidFill>
              <a:latin typeface="Arial" pitchFamily="34" charset="0"/>
              <a:ea typeface="+mn-ea"/>
              <a:cs typeface="Arial" pitchFamily="34" charset="0"/>
            </a:rPr>
            <a:t>pkm = passenger kilometres </a:t>
          </a:r>
        </a:p>
        <a:p>
          <a:r>
            <a:rPr lang="en-NZ" sz="1000">
              <a:solidFill>
                <a:schemeClr val="dk1"/>
              </a:solidFill>
              <a:latin typeface="Arial" pitchFamily="34" charset="0"/>
              <a:ea typeface="+mn-ea"/>
              <a:cs typeface="Arial" pitchFamily="34" charset="0"/>
            </a:rPr>
            <a:t>Includes direct emissions only. Does not include indirect emissions resulting from the production and transport of fuel.</a:t>
          </a:r>
          <a:r>
            <a:rPr lang="en-NZ" sz="1000" baseline="0">
              <a:solidFill>
                <a:schemeClr val="dk1"/>
              </a:solidFill>
              <a:latin typeface="Arial" pitchFamily="34" charset="0"/>
              <a:ea typeface="+mn-ea"/>
              <a:cs typeface="Arial" pitchFamily="34" charset="0"/>
            </a:rPr>
            <a:t> </a:t>
          </a:r>
          <a:endParaRPr lang="en-NZ" sz="1000">
            <a:solidFill>
              <a:schemeClr val="dk1"/>
            </a:solidFill>
            <a:latin typeface="Arial" pitchFamily="34" charset="0"/>
            <a:ea typeface="+mn-ea"/>
            <a:cs typeface="Arial" pitchFamily="34" charset="0"/>
          </a:endParaRPr>
        </a:p>
        <a:p>
          <a:endParaRPr lang="en-NZ" sz="1000">
            <a:solidFill>
              <a:schemeClr val="dk1"/>
            </a:solidFill>
            <a:latin typeface="Arial" pitchFamily="34" charset="0"/>
            <a:ea typeface="+mn-ea"/>
            <a:cs typeface="Arial" pitchFamily="34" charset="0"/>
          </a:endParaRPr>
        </a:p>
        <a:p>
          <a:r>
            <a:rPr lang="en-NZ" sz="1000" b="1" u="sng">
              <a:solidFill>
                <a:schemeClr val="dk1"/>
              </a:solidFill>
              <a:latin typeface="Arial" pitchFamily="34" charset="0"/>
              <a:ea typeface="+mn-ea"/>
              <a:cs typeface="Arial" pitchFamily="34" charset="0"/>
            </a:rPr>
            <a:t>Methodological Notes: </a:t>
          </a:r>
          <a:endParaRPr lang="en-NZ" sz="1000">
            <a:solidFill>
              <a:schemeClr val="dk1"/>
            </a:solidFill>
            <a:latin typeface="Arial" pitchFamily="34" charset="0"/>
            <a:ea typeface="+mn-ea"/>
            <a:cs typeface="Arial" pitchFamily="34" charset="0"/>
          </a:endParaRPr>
        </a:p>
        <a:p>
          <a:r>
            <a:rPr lang="en-NZ" sz="1000">
              <a:solidFill>
                <a:schemeClr val="dk1"/>
              </a:solidFill>
              <a:latin typeface="Arial" pitchFamily="34" charset="0"/>
              <a:ea typeface="+mn-ea"/>
              <a:cs typeface="Arial" pitchFamily="34" charset="0"/>
            </a:rPr>
            <a:t/>
          </a:r>
          <a:br>
            <a:rPr lang="en-NZ" sz="1000">
              <a:solidFill>
                <a:schemeClr val="dk1"/>
              </a:solidFill>
              <a:latin typeface="Arial" pitchFamily="34" charset="0"/>
              <a:ea typeface="+mn-ea"/>
              <a:cs typeface="Arial" pitchFamily="34" charset="0"/>
            </a:rPr>
          </a:br>
          <a:r>
            <a:rPr lang="en-NZ" sz="1000">
              <a:solidFill>
                <a:schemeClr val="dk1"/>
              </a:solidFill>
              <a:latin typeface="Arial" pitchFamily="34" charset="0"/>
              <a:ea typeface="+mn-ea"/>
              <a:cs typeface="Arial" pitchFamily="34" charset="0"/>
            </a:rPr>
            <a:t>In 2013, DEFRA implemented several structural changes</a:t>
          </a:r>
          <a:r>
            <a:rPr lang="en-NZ" sz="1000" baseline="0">
              <a:solidFill>
                <a:schemeClr val="dk1"/>
              </a:solidFill>
              <a:latin typeface="Arial" pitchFamily="34" charset="0"/>
              <a:ea typeface="+mn-ea"/>
              <a:cs typeface="Arial" pitchFamily="34" charset="0"/>
            </a:rPr>
            <a:t> </a:t>
          </a:r>
          <a:r>
            <a:rPr lang="en-NZ" sz="1000">
              <a:solidFill>
                <a:schemeClr val="dk1"/>
              </a:solidFill>
              <a:latin typeface="Arial" pitchFamily="34" charset="0"/>
              <a:ea typeface="+mn-ea"/>
              <a:cs typeface="Arial" pitchFamily="34" charset="0"/>
            </a:rPr>
            <a:t>to the way the emission factors are presented. The emission factors now include a pre-applied uplift factor of eight per cent (UK specific figure). In addition, DEFRA provides two sets of 'business travel - air' factors; one set ('Without RF') includes only the eight per cent uplift factor. The other set ('With RF') includes both the eight per cent uplift factor and a 90 per cent increase in the CO2 factor to account for radiative forcing (the influence of other climate change effects of aviation (water vapour, contrails, NOx etc.). </a:t>
          </a:r>
        </a:p>
        <a:p>
          <a:endParaRPr lang="en-NZ" sz="1000">
            <a:solidFill>
              <a:schemeClr val="dk1"/>
            </a:solidFill>
            <a:latin typeface="Arial" pitchFamily="34" charset="0"/>
            <a:ea typeface="+mn-ea"/>
            <a:cs typeface="Arial" pitchFamily="34" charset="0"/>
          </a:endParaRPr>
        </a:p>
        <a:p>
          <a:r>
            <a:rPr lang="en-NZ" sz="1000">
              <a:solidFill>
                <a:schemeClr val="dk1"/>
              </a:solidFill>
              <a:latin typeface="Arial" pitchFamily="34" charset="0"/>
              <a:ea typeface="+mn-ea"/>
              <a:cs typeface="Arial" pitchFamily="34" charset="0"/>
            </a:rPr>
            <a:t>2013</a:t>
          </a:r>
          <a:r>
            <a:rPr lang="en-NZ" sz="1000" baseline="0">
              <a:solidFill>
                <a:schemeClr val="dk1"/>
              </a:solidFill>
              <a:latin typeface="Arial" pitchFamily="34" charset="0"/>
              <a:ea typeface="+mn-ea"/>
              <a:cs typeface="Arial" pitchFamily="34" charset="0"/>
            </a:rPr>
            <a:t> Government GHG Conversion Factors for Company Reporting: Methodology Paper for Emission Factors</a:t>
          </a:r>
          <a:endParaRPr lang="en-NZ" sz="1000">
            <a:solidFill>
              <a:schemeClr val="dk1"/>
            </a:solidFill>
            <a:latin typeface="Arial" pitchFamily="34" charset="0"/>
            <a:ea typeface="+mn-ea"/>
            <a:cs typeface="Arial" pitchFamily="34" charset="0"/>
          </a:endParaRPr>
        </a:p>
        <a:p>
          <a:pPr marL="0" marR="0" indent="0" defTabSz="914400" eaLnBrk="1" fontAlgn="auto" latinLnBrk="0" hangingPunct="1">
            <a:lnSpc>
              <a:spcPct val="100000"/>
            </a:lnSpc>
            <a:spcBef>
              <a:spcPts val="0"/>
            </a:spcBef>
            <a:spcAft>
              <a:spcPts val="0"/>
            </a:spcAft>
            <a:buClrTx/>
            <a:buSzTx/>
            <a:buFontTx/>
            <a:buNone/>
            <a:tabLst/>
            <a:defRPr/>
          </a:pPr>
          <a:endParaRPr lang="en-NZ" sz="1000" u="none" baseline="0">
            <a:latin typeface="Arial" pitchFamily="34" charset="0"/>
            <a:cs typeface="Arial" pitchFamily="34" charset="0"/>
          </a:endParaRPr>
        </a:p>
        <a:p>
          <a:pPr marL="0" marR="0" indent="0" defTabSz="914400" eaLnBrk="1" fontAlgn="auto" latinLnBrk="0" hangingPunct="1">
            <a:lnSpc>
              <a:spcPct val="100000"/>
            </a:lnSpc>
            <a:spcBef>
              <a:spcPts val="0"/>
            </a:spcBef>
            <a:spcAft>
              <a:spcPts val="0"/>
            </a:spcAft>
            <a:buClrTx/>
            <a:buSzTx/>
            <a:buFontTx/>
            <a:buNone/>
            <a:tabLst/>
            <a:defRPr/>
          </a:pPr>
          <a:endParaRPr lang="en-NZ" sz="1000" u="none" baseline="0">
            <a:latin typeface="Arial" pitchFamily="34" charset="0"/>
            <a:cs typeface="Arial" pitchFamily="34" charset="0"/>
          </a:endParaRPr>
        </a:p>
        <a:p>
          <a:r>
            <a:rPr lang="en-NZ" sz="1000">
              <a:solidFill>
                <a:schemeClr val="dk1"/>
              </a:solidFill>
              <a:latin typeface="Arial" pitchFamily="34" charset="0"/>
              <a:ea typeface="+mn-ea"/>
              <a:cs typeface="Arial" pitchFamily="34" charset="0"/>
            </a:rPr>
            <a:t>The emission factors presented here have been derived by dividing the DEFRA emission factors (Without RF) by 1.08 to remove the</a:t>
          </a:r>
          <a:r>
            <a:rPr lang="en-NZ" sz="1000" baseline="0">
              <a:solidFill>
                <a:schemeClr val="dk1"/>
              </a:solidFill>
              <a:latin typeface="Arial" pitchFamily="34" charset="0"/>
              <a:ea typeface="+mn-ea"/>
              <a:cs typeface="Arial" pitchFamily="34" charset="0"/>
            </a:rPr>
            <a:t> eight</a:t>
          </a:r>
          <a:r>
            <a:rPr lang="en-NZ" sz="1000">
              <a:solidFill>
                <a:schemeClr val="dk1"/>
              </a:solidFill>
              <a:latin typeface="Arial" pitchFamily="34" charset="0"/>
              <a:ea typeface="+mn-ea"/>
              <a:cs typeface="Arial" pitchFamily="34" charset="0"/>
            </a:rPr>
            <a:t> per cent uplift factor. The voluntary guidance will continue to recommend that reporting entities apply the nine per cent uplift factor in the absence of any New Zealand specific figure. </a:t>
          </a:r>
          <a:endParaRPr lang="en-NZ" sz="1000">
            <a:latin typeface="Arial" pitchFamily="34" charset="0"/>
            <a:cs typeface="Arial" pitchFamily="34" charset="0"/>
          </a:endParaRPr>
        </a:p>
        <a:p>
          <a:endParaRPr lang="en-NZ" sz="1000" u="none" baseline="0">
            <a:latin typeface="Arial" pitchFamily="34" charset="0"/>
            <a:cs typeface="Arial" pitchFamily="34" charset="0"/>
          </a:endParaRPr>
        </a:p>
      </xdr:txBody>
    </xdr:sp>
    <xdr:clientData/>
  </xdr:twoCellAnchor>
  <xdr:twoCellAnchor>
    <xdr:from>
      <xdr:col>5</xdr:col>
      <xdr:colOff>973667</xdr:colOff>
      <xdr:row>2</xdr:row>
      <xdr:rowOff>169332</xdr:rowOff>
    </xdr:from>
    <xdr:to>
      <xdr:col>15</xdr:col>
      <xdr:colOff>476250</xdr:colOff>
      <xdr:row>7</xdr:row>
      <xdr:rowOff>126999</xdr:rowOff>
    </xdr:to>
    <xdr:sp macro="" textlink="">
      <xdr:nvSpPr>
        <xdr:cNvPr id="5" name="TextBox 4">
          <a:hlinkClick xmlns:r="http://schemas.openxmlformats.org/officeDocument/2006/relationships" r:id="rId2"/>
        </xdr:cNvPr>
        <xdr:cNvSpPr txBox="1"/>
      </xdr:nvSpPr>
      <xdr:spPr>
        <a:xfrm>
          <a:off x="8360834" y="486832"/>
          <a:ext cx="9218083" cy="112183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NZ" sz="1000" b="1" u="sng">
              <a:latin typeface="Arial" pitchFamily="34" charset="0"/>
              <a:cs typeface="Arial" pitchFamily="34" charset="0"/>
            </a:rPr>
            <a:t>Source: </a:t>
          </a:r>
        </a:p>
        <a:p>
          <a:endParaRPr lang="en-NZ" sz="1000" b="1" u="sng">
            <a:latin typeface="Arial" pitchFamily="34" charset="0"/>
            <a:cs typeface="Arial" pitchFamily="34" charset="0"/>
          </a:endParaRPr>
        </a:p>
        <a:p>
          <a:r>
            <a:rPr lang="en-NZ" sz="1000" b="0" u="none">
              <a:latin typeface="Arial" pitchFamily="34" charset="0"/>
              <a:cs typeface="Arial" pitchFamily="34" charset="0"/>
            </a:rPr>
            <a:t>Data taken from the 2013</a:t>
          </a:r>
          <a:r>
            <a:rPr lang="en-NZ" sz="1000" b="0" u="none" baseline="0">
              <a:latin typeface="Arial" pitchFamily="34" charset="0"/>
              <a:cs typeface="Arial" pitchFamily="34" charset="0"/>
            </a:rPr>
            <a:t> Government Conversion Fators for Company Reporting </a:t>
          </a:r>
        </a:p>
        <a:p>
          <a:pPr marL="0" marR="0" indent="0" defTabSz="914400" eaLnBrk="1" fontAlgn="auto" latinLnBrk="0" hangingPunct="1">
            <a:lnSpc>
              <a:spcPct val="100000"/>
            </a:lnSpc>
            <a:spcBef>
              <a:spcPts val="0"/>
            </a:spcBef>
            <a:spcAft>
              <a:spcPts val="0"/>
            </a:spcAft>
            <a:buClrTx/>
            <a:buSzTx/>
            <a:buFontTx/>
            <a:buNone/>
            <a:tabLst/>
            <a:defRPr/>
          </a:pPr>
          <a:r>
            <a:rPr lang="en-NZ" sz="1000" b="0" i="0">
              <a:solidFill>
                <a:schemeClr val="dk1"/>
              </a:solidFill>
              <a:latin typeface="Arial" pitchFamily="34" charset="0"/>
              <a:ea typeface="+mn-ea"/>
              <a:cs typeface="Arial" pitchFamily="34" charset="0"/>
            </a:rPr>
            <a:t>(select</a:t>
          </a:r>
          <a:r>
            <a:rPr lang="en-NZ" sz="1000" b="0" i="0" baseline="0">
              <a:solidFill>
                <a:schemeClr val="dk1"/>
              </a:solidFill>
              <a:latin typeface="Arial" pitchFamily="34" charset="0"/>
              <a:ea typeface="+mn-ea"/>
              <a:cs typeface="Arial" pitchFamily="34" charset="0"/>
            </a:rPr>
            <a:t> the advanced user option) </a:t>
          </a:r>
          <a:br>
            <a:rPr lang="en-NZ" sz="1000" b="0" i="0" baseline="0">
              <a:solidFill>
                <a:schemeClr val="dk1"/>
              </a:solidFill>
              <a:latin typeface="Arial" pitchFamily="34" charset="0"/>
              <a:ea typeface="+mn-ea"/>
              <a:cs typeface="Arial" pitchFamily="34" charset="0"/>
            </a:rPr>
          </a:br>
          <a:r>
            <a:rPr lang="en-NZ" sz="1000" b="0" i="0" baseline="0">
              <a:solidFill>
                <a:schemeClr val="dk1"/>
              </a:solidFill>
              <a:latin typeface="Arial" pitchFamily="34" charset="0"/>
              <a:ea typeface="+mn-ea"/>
              <a:cs typeface="Arial" pitchFamily="34" charset="0"/>
            </a:rPr>
            <a:t>Updated June 2013</a:t>
          </a:r>
        </a:p>
        <a:p>
          <a:pPr marL="0" marR="0" indent="0" defTabSz="914400" eaLnBrk="1" fontAlgn="auto" latinLnBrk="0" hangingPunct="1">
            <a:lnSpc>
              <a:spcPct val="100000"/>
            </a:lnSpc>
            <a:spcBef>
              <a:spcPts val="0"/>
            </a:spcBef>
            <a:spcAft>
              <a:spcPts val="0"/>
            </a:spcAft>
            <a:buClrTx/>
            <a:buSzTx/>
            <a:buFontTx/>
            <a:buNone/>
            <a:tabLst/>
            <a:defRPr/>
          </a:pPr>
          <a:endParaRPr lang="en-NZ" sz="1000" b="0" i="0">
            <a:solidFill>
              <a:schemeClr val="dk1"/>
            </a:solidFill>
            <a:latin typeface="Arial" pitchFamily="34" charset="0"/>
            <a:ea typeface="+mn-ea"/>
            <a:cs typeface="Arial" pitchFamily="34" charset="0"/>
          </a:endParaRPr>
        </a:p>
        <a:p>
          <a:pPr marL="0" marR="0" indent="0" defTabSz="914400" eaLnBrk="1" fontAlgn="auto" latinLnBrk="0" hangingPunct="1">
            <a:lnSpc>
              <a:spcPct val="100000"/>
            </a:lnSpc>
            <a:spcBef>
              <a:spcPts val="0"/>
            </a:spcBef>
            <a:spcAft>
              <a:spcPts val="0"/>
            </a:spcAft>
            <a:buClrTx/>
            <a:buSzTx/>
            <a:buFontTx/>
            <a:buNone/>
            <a:tabLst/>
            <a:defRPr/>
          </a:pPr>
          <a:endParaRPr lang="en-NZ" sz="1100" b="0" i="0">
            <a:solidFill>
              <a:schemeClr val="dk1"/>
            </a:solidFill>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endParaRPr lang="en-NZ" sz="1000"/>
        </a:p>
        <a:p>
          <a:r>
            <a:rPr lang="en-NZ" sz="1000" b="0" u="none" baseline="0">
              <a:latin typeface="Arial" pitchFamily="34" charset="0"/>
              <a:cs typeface="Arial" pitchFamily="34" charset="0"/>
            </a:rPr>
            <a:t/>
          </a:r>
          <a:br>
            <a:rPr lang="en-NZ" sz="1000" b="0" u="none" baseline="0">
              <a:latin typeface="Arial" pitchFamily="34" charset="0"/>
              <a:cs typeface="Arial" pitchFamily="34" charset="0"/>
            </a:rPr>
          </a:br>
          <a:endParaRPr lang="en-NZ" sz="1000" b="0" u="none">
            <a:latin typeface="Arial" pitchFamily="34" charset="0"/>
            <a:cs typeface="Arial" pitchFamily="34" charset="0"/>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edrms1/SilentOne/AMPHORA!~~DRAGON~PD~PD_CC~PD_CC_TWELVE~PD_CC_TWELVE_FIVE~PD_CC_TWELVE_FIVE_THREE~000000394908.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2"/>
      <sheetName val="Sheet3"/>
    </sheetNames>
    <sheetDataSet>
      <sheetData sheetId="0" refreshError="1">
        <row r="24">
          <cell r="C24">
            <v>0.53605000000000003</v>
          </cell>
          <cell r="D24">
            <v>0.20775000000000002</v>
          </cell>
        </row>
      </sheetData>
      <sheetData sheetId="1" refreshError="1"/>
      <sheetData sheetId="2"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8" Type="http://schemas.openxmlformats.org/officeDocument/2006/relationships/hyperlink" Target="http://www.med.govt.nz/sectors-industries/energy/energy-modelling/publications/energy-greenhouse-gas-emissions" TargetMode="External"/><Relationship Id="rId13" Type="http://schemas.openxmlformats.org/officeDocument/2006/relationships/hyperlink" Target="https://www.ipcc.ch/pdf/assessment-report/ar4/wg1/ar4-wg1-chapter2.pdf" TargetMode="External"/><Relationship Id="rId3" Type="http://schemas.openxmlformats.org/officeDocument/2006/relationships/hyperlink" Target="http://www.med.govt.nz/sectors-industries/energy/energy-modelling/publications/energy-in-new-zealand-2013" TargetMode="External"/><Relationship Id="rId7" Type="http://schemas.openxmlformats.org/officeDocument/2006/relationships/hyperlink" Target="http://www.med.govt.nz/sectors-industries/energy/energy-modelling/publications/energy-greenhouse-gas-emissions" TargetMode="External"/><Relationship Id="rId12" Type="http://schemas.openxmlformats.org/officeDocument/2006/relationships/hyperlink" Target="http://www.med.govt.nz/sectors-industries/energy/energy-modelling/publications/energy-in-new-zealand-2013" TargetMode="External"/><Relationship Id="rId2" Type="http://schemas.openxmlformats.org/officeDocument/2006/relationships/hyperlink" Target="http://www.med.govt.nz/sectors-industries/energy/energy-modelling/publications/energy-greenhouse-gas-emissions" TargetMode="External"/><Relationship Id="rId1" Type="http://schemas.openxmlformats.org/officeDocument/2006/relationships/hyperlink" Target="http://www.med.govt.nz/sectors-industries/energy/energy-modelling/publications/energy-greenhouse-gas-emissions" TargetMode="External"/><Relationship Id="rId6" Type="http://schemas.openxmlformats.org/officeDocument/2006/relationships/hyperlink" Target="http://www.med.govt.nz/sectors-industries/energy/energy-modelling/publications/energy-in-new-zealand-2013" TargetMode="External"/><Relationship Id="rId11" Type="http://schemas.openxmlformats.org/officeDocument/2006/relationships/hyperlink" Target="http://www.med.govt.nz/sectors-industries/energy/energy-modelling/publications/energy-greenhouse-gas-emissions" TargetMode="External"/><Relationship Id="rId5" Type="http://schemas.openxmlformats.org/officeDocument/2006/relationships/hyperlink" Target="http://www.med.govt.nz/sectors-industries/energy/energy-modelling/publications/energy-greenhouse-gas-emissions" TargetMode="External"/><Relationship Id="rId15" Type="http://schemas.openxmlformats.org/officeDocument/2006/relationships/drawing" Target="../drawings/drawing7.xml"/><Relationship Id="rId10" Type="http://schemas.openxmlformats.org/officeDocument/2006/relationships/hyperlink" Target="http://www.med.govt.nz/sectors-industries/energy/energy-modelling/publications/energy-in-new-zealand-2013" TargetMode="External"/><Relationship Id="rId4" Type="http://schemas.openxmlformats.org/officeDocument/2006/relationships/hyperlink" Target="http://www.med.govt.nz/sectors-industries/energy/energy-modelling/publications/energy-in-new-zealand-2013" TargetMode="External"/><Relationship Id="rId9" Type="http://schemas.openxmlformats.org/officeDocument/2006/relationships/hyperlink" Target="http://www.med.govt.nz/sectors-industries/energy/energy-modelling/publications/energy-in-new-zealand-2013" TargetMode="External"/><Relationship Id="rId14"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10.bin"/><Relationship Id="rId1" Type="http://schemas.openxmlformats.org/officeDocument/2006/relationships/hyperlink" Target="https://www.ipcc.ch/pdf/assessment-report/ar4/wg1/ar4-wg1-chapter2.pdf" TargetMode="External"/></Relationships>
</file>

<file path=xl/worksheets/_rels/sheet12.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rinterSettings" Target="../printerSettings/printerSettings11.bin"/><Relationship Id="rId1" Type="http://schemas.openxmlformats.org/officeDocument/2006/relationships/hyperlink" Target="https://www.ipcc.ch/pdf/assessment-report/ar4/wg1/ar4-wg1-chapter2.pdf" TargetMode="External"/><Relationship Id="rId5" Type="http://schemas.openxmlformats.org/officeDocument/2006/relationships/comments" Target="../comments2.xml"/><Relationship Id="rId4" Type="http://schemas.openxmlformats.org/officeDocument/2006/relationships/vmlDrawing" Target="../drawings/vmlDrawing2.vml"/></Relationships>
</file>

<file path=xl/worksheets/_rels/sheet13.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printerSettings" Target="../printerSettings/printerSettings12.bin"/><Relationship Id="rId1" Type="http://schemas.openxmlformats.org/officeDocument/2006/relationships/hyperlink" Target="https://www.ipcc.ch/pdf/assessment-report/ar4/wg1/ar4-wg1-chapter2.pdf" TargetMode="External"/></Relationships>
</file>

<file path=xl/worksheets/_rels/sheet14.xml.rels><?xml version="1.0" encoding="UTF-8" standalone="yes"?>
<Relationships xmlns="http://schemas.openxmlformats.org/package/2006/relationships"><Relationship Id="rId3" Type="http://schemas.openxmlformats.org/officeDocument/2006/relationships/printerSettings" Target="../printerSettings/printerSettings13.bin"/><Relationship Id="rId2" Type="http://schemas.openxmlformats.org/officeDocument/2006/relationships/hyperlink" Target="http://edrms1/SilentOne/Amphora!~~EDRMS1~PD~PD_CC~PD_CC_Twelve~PD_CC_Twelve_Five~PD_CC_Twelve_Five_Three~000001079804.msg" TargetMode="External"/><Relationship Id="rId1" Type="http://schemas.openxmlformats.org/officeDocument/2006/relationships/hyperlink" Target="http://edrms1/SilentOne/Amphora!~~EDRMS1~PD~PD_CC~PD_CC_Twelve~PD_CC_Twelve_Five~PD_CC_Twelve_Five_Three~000001079804.msg" TargetMode="External"/><Relationship Id="rId4" Type="http://schemas.openxmlformats.org/officeDocument/2006/relationships/drawing" Target="../drawings/drawing11.xml"/></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www.med.govt.nz/sectors-industries/energy/energy-modelling/publications/energy-in-new-zealand-2013" TargetMode="External"/><Relationship Id="rId1" Type="http://schemas.openxmlformats.org/officeDocument/2006/relationships/hyperlink" Target="http://www.med.govt.nz/sectors-industries/energy/energy-modelling/publications/energy-greenhouse-gas-emissions"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s://www.ipcc.ch/pdf/assessment-report/ar4/wg1/ar4-wg1-chapter2.pdf" TargetMode="External"/><Relationship Id="rId1" Type="http://schemas.openxmlformats.org/officeDocument/2006/relationships/hyperlink" Target="http://www.med.govt.nz/sectors-industries/energy/pdf-docs-library/energy-data-and-modelling/data/Coal.xls" TargetMode="External"/><Relationship Id="rId4" Type="http://schemas.openxmlformats.org/officeDocument/2006/relationships/drawing" Target="../drawings/drawing1.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5.bin"/><Relationship Id="rId2" Type="http://schemas.openxmlformats.org/officeDocument/2006/relationships/hyperlink" Target="http://www.med.govt.nz/sectors-industries/energy/pdf-docs-library/energy-data-and-modelling/data/Oil.xls" TargetMode="External"/><Relationship Id="rId1" Type="http://schemas.openxmlformats.org/officeDocument/2006/relationships/hyperlink" Target="https://www.ipcc.ch/pdf/assessment-report/ar4/wg1/ar4-wg1-chapter2.pdf" TargetMode="External"/><Relationship Id="rId4" Type="http://schemas.openxmlformats.org/officeDocument/2006/relationships/drawing" Target="../drawings/drawing3.xml"/></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6.bin"/><Relationship Id="rId1" Type="http://schemas.openxmlformats.org/officeDocument/2006/relationships/hyperlink" Target="https://www.ipcc.ch/pdf/assessment-report/ar4/wg1/ar4-wg1-chapter2.pdf" TargetMode="Externa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8" Type="http://schemas.openxmlformats.org/officeDocument/2006/relationships/hyperlink" Target="http://www.med.govt.nz/sectors-industries/energy/energy-modelling/publications/energy-greenhouse-gas-emissions" TargetMode="External"/><Relationship Id="rId3" Type="http://schemas.openxmlformats.org/officeDocument/2006/relationships/hyperlink" Target="http://www.med.govt.nz/sectors-industries/energy/energy-modelling/publications/energy-in-new-zealand-2013" TargetMode="External"/><Relationship Id="rId7" Type="http://schemas.openxmlformats.org/officeDocument/2006/relationships/hyperlink" Target="http://www.med.govt.nz/sectors-industries/energy/energy-modelling/publications/energy-in-new-zealand-2013" TargetMode="External"/><Relationship Id="rId2" Type="http://schemas.openxmlformats.org/officeDocument/2006/relationships/hyperlink" Target="http://www.med.govt.nz/sectors-industries/energy/energy-modelling/publications/energy-in-new-zealand-2013" TargetMode="External"/><Relationship Id="rId1" Type="http://schemas.openxmlformats.org/officeDocument/2006/relationships/hyperlink" Target="http://www.med.govt.nz/sectors-industries/energy/energy-modelling/publications/energy-greenhouse-gas-emissions" TargetMode="External"/><Relationship Id="rId6" Type="http://schemas.openxmlformats.org/officeDocument/2006/relationships/hyperlink" Target="http://www.med.govt.nz/sectors-industries/energy/energy-modelling/publications/energy-in-new-zealand-2013" TargetMode="External"/><Relationship Id="rId11" Type="http://schemas.openxmlformats.org/officeDocument/2006/relationships/drawing" Target="../drawings/drawing6.xml"/><Relationship Id="rId5" Type="http://schemas.openxmlformats.org/officeDocument/2006/relationships/hyperlink" Target="http://www.med.govt.nz/sectors-industries/energy/energy-modelling/publications/energy-greenhouse-gas-emissions" TargetMode="External"/><Relationship Id="rId10" Type="http://schemas.openxmlformats.org/officeDocument/2006/relationships/printerSettings" Target="../printerSettings/printerSettings8.bin"/><Relationship Id="rId4" Type="http://schemas.openxmlformats.org/officeDocument/2006/relationships/hyperlink" Target="http://www.med.govt.nz/sectors-industries/energy/energy-modelling/publications/energy-greenhouse-gas-emissions" TargetMode="External"/><Relationship Id="rId9" Type="http://schemas.openxmlformats.org/officeDocument/2006/relationships/hyperlink" Target="https://www.ipcc.ch/pdf/assessment-report/ar4/wg1/ar4-wg1-chapter2.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2:F31"/>
  <sheetViews>
    <sheetView topLeftCell="A7" workbookViewId="0">
      <selection activeCell="D28" sqref="A24:D28"/>
    </sheetView>
  </sheetViews>
  <sheetFormatPr defaultColWidth="9.140625" defaultRowHeight="15"/>
  <cols>
    <col min="1" max="16384" width="9.140625" style="76"/>
  </cols>
  <sheetData>
    <row r="2" spans="1:1">
      <c r="A2" s="75" t="s">
        <v>195</v>
      </c>
    </row>
    <row r="3" spans="1:1">
      <c r="A3" s="92" t="s">
        <v>232</v>
      </c>
    </row>
    <row r="4" spans="1:1">
      <c r="A4" s="92" t="s">
        <v>233</v>
      </c>
    </row>
    <row r="5" spans="1:1">
      <c r="A5" s="92" t="s">
        <v>231</v>
      </c>
    </row>
    <row r="7" spans="1:1">
      <c r="A7" s="75" t="s">
        <v>196</v>
      </c>
    </row>
    <row r="8" spans="1:1">
      <c r="A8" s="76" t="s">
        <v>197</v>
      </c>
    </row>
    <row r="9" spans="1:1">
      <c r="A9" s="92" t="s">
        <v>233</v>
      </c>
    </row>
    <row r="10" spans="1:1">
      <c r="A10" s="76" t="s">
        <v>198</v>
      </c>
    </row>
    <row r="12" spans="1:1">
      <c r="A12" s="75" t="s">
        <v>193</v>
      </c>
    </row>
    <row r="13" spans="1:1">
      <c r="A13" s="76" t="s">
        <v>199</v>
      </c>
    </row>
    <row r="14" spans="1:1">
      <c r="A14" s="92" t="s">
        <v>200</v>
      </c>
    </row>
    <row r="16" spans="1:1">
      <c r="A16" s="75" t="s">
        <v>42</v>
      </c>
    </row>
    <row r="17" spans="1:6">
      <c r="A17" s="76" t="s">
        <v>201</v>
      </c>
    </row>
    <row r="18" spans="1:6">
      <c r="A18" s="76" t="s">
        <v>202</v>
      </c>
    </row>
    <row r="20" spans="1:6">
      <c r="A20" s="75" t="s">
        <v>203</v>
      </c>
    </row>
    <row r="21" spans="1:6">
      <c r="A21" s="202" t="s">
        <v>204</v>
      </c>
      <c r="B21" s="202"/>
      <c r="C21" s="202"/>
      <c r="D21" s="202"/>
      <c r="E21" s="202"/>
      <c r="F21" s="88" t="s">
        <v>221</v>
      </c>
    </row>
    <row r="22" spans="1:6">
      <c r="A22" s="201" t="s">
        <v>350</v>
      </c>
      <c r="B22" s="87"/>
      <c r="C22" s="87"/>
      <c r="D22" s="87"/>
      <c r="E22" s="87"/>
    </row>
    <row r="24" spans="1:6">
      <c r="A24" s="75" t="s">
        <v>205</v>
      </c>
    </row>
    <row r="25" spans="1:6">
      <c r="A25" s="76" t="s">
        <v>206</v>
      </c>
    </row>
    <row r="26" spans="1:6">
      <c r="A26" s="76" t="s">
        <v>207</v>
      </c>
    </row>
    <row r="27" spans="1:6">
      <c r="A27" s="76" t="s">
        <v>208</v>
      </c>
    </row>
    <row r="29" spans="1:6">
      <c r="A29" s="75" t="s">
        <v>209</v>
      </c>
    </row>
    <row r="30" spans="1:6">
      <c r="A30" s="76" t="s">
        <v>210</v>
      </c>
    </row>
    <row r="31" spans="1:6">
      <c r="A31" s="76" t="s">
        <v>211</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pageSetUpPr fitToPage="1"/>
  </sheetPr>
  <dimension ref="A1:Q125"/>
  <sheetViews>
    <sheetView topLeftCell="A87" zoomScaleNormal="100" workbookViewId="0">
      <selection activeCell="J29" sqref="J29"/>
    </sheetView>
  </sheetViews>
  <sheetFormatPr defaultRowHeight="12.75"/>
  <cols>
    <col min="2" max="2" width="22.42578125" customWidth="1"/>
    <col min="3" max="3" width="35.28515625" customWidth="1"/>
    <col min="4" max="4" width="10" customWidth="1"/>
    <col min="5" max="5" width="21.42578125" customWidth="1"/>
    <col min="10" max="10" width="12.42578125" bestFit="1" customWidth="1"/>
  </cols>
  <sheetData>
    <row r="1" spans="2:17">
      <c r="B1" s="435" t="s">
        <v>274</v>
      </c>
    </row>
    <row r="3" spans="2:17" ht="15">
      <c r="B3" s="104" t="s">
        <v>42</v>
      </c>
      <c r="Q3" s="175"/>
    </row>
    <row r="4" spans="2:17" ht="15">
      <c r="I4" s="4"/>
      <c r="J4" s="4"/>
      <c r="Q4" s="175"/>
    </row>
    <row r="5" spans="2:17">
      <c r="B5" s="435" t="s">
        <v>472</v>
      </c>
      <c r="C5" s="435"/>
      <c r="D5" s="435"/>
      <c r="E5" s="86"/>
      <c r="I5" s="4"/>
      <c r="J5" s="4"/>
    </row>
    <row r="6" spans="2:17" ht="44.25">
      <c r="B6" s="107" t="s">
        <v>244</v>
      </c>
      <c r="C6" s="2" t="s">
        <v>0</v>
      </c>
      <c r="D6" s="2" t="s">
        <v>2</v>
      </c>
      <c r="E6" s="3" t="s">
        <v>3</v>
      </c>
      <c r="I6" s="63"/>
      <c r="J6" s="63"/>
      <c r="K6" s="63"/>
      <c r="L6" s="63"/>
      <c r="M6" s="63"/>
    </row>
    <row r="7" spans="2:17" ht="25.5">
      <c r="B7" s="727">
        <v>2012</v>
      </c>
      <c r="C7" s="315" t="s">
        <v>51</v>
      </c>
      <c r="D7" s="727" t="s">
        <v>45</v>
      </c>
      <c r="E7" s="486">
        <f>C23</f>
        <v>1.5293394506514235E-2</v>
      </c>
      <c r="I7" s="63"/>
      <c r="J7" s="63"/>
      <c r="K7" s="63"/>
      <c r="L7" s="63"/>
      <c r="M7" s="63"/>
    </row>
    <row r="8" spans="2:17">
      <c r="B8" s="96"/>
      <c r="C8" s="183"/>
      <c r="D8" s="114"/>
      <c r="E8" s="184"/>
      <c r="I8" s="96"/>
      <c r="J8" s="96"/>
      <c r="K8" s="96"/>
      <c r="L8" s="96"/>
    </row>
    <row r="9" spans="2:17" ht="13.5" thickBot="1">
      <c r="I9" s="102"/>
      <c r="J9" s="265"/>
      <c r="K9" s="102"/>
      <c r="L9" s="102"/>
    </row>
    <row r="10" spans="2:17">
      <c r="B10" s="155" t="s">
        <v>260</v>
      </c>
      <c r="C10" s="105" t="s">
        <v>494</v>
      </c>
      <c r="D10" s="93"/>
      <c r="E10" s="93"/>
      <c r="F10" s="93"/>
      <c r="G10" s="93"/>
      <c r="H10" s="93"/>
      <c r="M10" s="93"/>
      <c r="N10" s="93"/>
      <c r="O10" s="94"/>
    </row>
    <row r="11" spans="2:17">
      <c r="B11" s="100" t="s">
        <v>275</v>
      </c>
      <c r="C11" s="106" t="s">
        <v>276</v>
      </c>
      <c r="D11" s="96"/>
      <c r="E11" s="96"/>
      <c r="F11" s="96"/>
      <c r="G11" s="96"/>
      <c r="H11" s="96"/>
      <c r="I11" s="96"/>
      <c r="J11" s="96"/>
      <c r="K11" s="96"/>
      <c r="L11" s="96"/>
      <c r="M11" s="96"/>
      <c r="N11" s="96"/>
      <c r="O11" s="97"/>
    </row>
    <row r="12" spans="2:17">
      <c r="B12" s="100"/>
      <c r="C12" s="106" t="s">
        <v>493</v>
      </c>
      <c r="D12" s="96"/>
      <c r="E12" s="96"/>
      <c r="F12" s="96"/>
      <c r="G12" s="96"/>
      <c r="H12" s="96"/>
      <c r="I12" s="96"/>
      <c r="J12" s="96"/>
      <c r="K12" s="96"/>
      <c r="L12" s="96"/>
      <c r="M12" s="96"/>
      <c r="N12" s="96"/>
      <c r="O12" s="97"/>
    </row>
    <row r="13" spans="2:17">
      <c r="B13" s="99"/>
      <c r="C13" s="96"/>
      <c r="D13" s="96"/>
      <c r="E13" s="113"/>
      <c r="F13" s="96"/>
      <c r="G13" s="96"/>
      <c r="H13" s="96"/>
      <c r="I13" s="96"/>
      <c r="J13" s="96"/>
      <c r="K13" s="96"/>
      <c r="L13" s="96"/>
      <c r="M13" s="96"/>
      <c r="N13" s="96"/>
      <c r="O13" s="97"/>
    </row>
    <row r="14" spans="2:17">
      <c r="B14" s="99"/>
      <c r="C14" s="96"/>
      <c r="D14" s="96"/>
      <c r="E14" s="113" t="s">
        <v>43</v>
      </c>
      <c r="F14" s="96"/>
      <c r="G14" s="96"/>
      <c r="H14" s="96"/>
      <c r="I14" s="96"/>
      <c r="J14" s="96"/>
      <c r="K14" s="96"/>
      <c r="L14" s="96"/>
      <c r="M14" s="96"/>
      <c r="N14" s="96"/>
      <c r="O14" s="97"/>
    </row>
    <row r="15" spans="2:17">
      <c r="B15" s="728" t="s">
        <v>32</v>
      </c>
      <c r="C15" s="731">
        <f>'Scope 2 Electricity'!C12</f>
        <v>6302.9729123310599</v>
      </c>
      <c r="D15" s="110" t="s">
        <v>33</v>
      </c>
      <c r="E15" s="15" t="s">
        <v>398</v>
      </c>
      <c r="F15" s="106"/>
      <c r="G15" s="106"/>
      <c r="H15" s="106"/>
      <c r="I15" s="106"/>
      <c r="J15" s="96"/>
      <c r="K15" s="96"/>
      <c r="L15" s="96"/>
      <c r="M15" s="96"/>
      <c r="N15" s="96"/>
      <c r="O15" s="97"/>
    </row>
    <row r="16" spans="2:17">
      <c r="B16" s="728" t="s">
        <v>30</v>
      </c>
      <c r="C16" s="732">
        <f>'Scope 2 Electricity'!C13</f>
        <v>753.07136588176604</v>
      </c>
      <c r="D16" s="110" t="s">
        <v>33</v>
      </c>
      <c r="E16" s="15" t="s">
        <v>398</v>
      </c>
      <c r="F16" s="106"/>
      <c r="G16" s="106"/>
      <c r="H16" s="106"/>
      <c r="I16" s="106"/>
      <c r="J16" s="96"/>
      <c r="K16" s="96"/>
      <c r="L16" s="96"/>
      <c r="M16" s="96"/>
      <c r="N16" s="96"/>
      <c r="O16" s="97"/>
    </row>
    <row r="17" spans="2:15">
      <c r="B17" s="728" t="s">
        <v>38</v>
      </c>
      <c r="C17" s="733">
        <f>'Scope 2 Electricity'!C15</f>
        <v>39204.581551219766</v>
      </c>
      <c r="D17" s="110" t="s">
        <v>34</v>
      </c>
      <c r="E17" s="355" t="s">
        <v>417</v>
      </c>
      <c r="F17" s="106"/>
      <c r="G17" s="106"/>
      <c r="H17" s="106"/>
      <c r="I17" s="106"/>
      <c r="J17" s="96"/>
      <c r="K17" s="96"/>
      <c r="L17" s="96"/>
      <c r="M17" s="96"/>
      <c r="N17" s="96"/>
      <c r="O17" s="97"/>
    </row>
    <row r="18" spans="2:15">
      <c r="B18" s="729" t="s">
        <v>406</v>
      </c>
      <c r="C18" s="733">
        <f>'Scope 2 Electricity'!C14</f>
        <v>42845.258870449536</v>
      </c>
      <c r="D18" s="110"/>
      <c r="E18" s="355" t="s">
        <v>417</v>
      </c>
      <c r="G18" s="106"/>
      <c r="H18" s="106"/>
      <c r="I18" s="106"/>
      <c r="J18" s="96"/>
      <c r="K18" s="96"/>
      <c r="L18" s="96"/>
      <c r="M18" s="96"/>
      <c r="N18" s="96"/>
      <c r="O18" s="97"/>
    </row>
    <row r="19" spans="2:15">
      <c r="B19" s="728" t="s">
        <v>40</v>
      </c>
      <c r="C19" s="734">
        <f>(C15+C16)/C17</f>
        <v>0.17998009413757643</v>
      </c>
      <c r="D19" s="110" t="s">
        <v>35</v>
      </c>
      <c r="E19" s="110" t="s">
        <v>36</v>
      </c>
      <c r="F19" s="106"/>
      <c r="G19" s="106"/>
      <c r="H19" s="106"/>
      <c r="I19" s="106"/>
      <c r="J19" s="96"/>
      <c r="K19" s="96"/>
      <c r="L19" s="96"/>
      <c r="M19" s="96"/>
      <c r="N19" s="96"/>
      <c r="O19" s="97"/>
    </row>
    <row r="20" spans="2:15">
      <c r="B20" s="729"/>
      <c r="C20" s="732"/>
      <c r="D20" s="110"/>
      <c r="E20" s="110"/>
      <c r="F20" s="106"/>
      <c r="G20" s="106"/>
      <c r="H20" s="106"/>
      <c r="I20" s="106"/>
      <c r="J20" s="96"/>
      <c r="K20" s="96"/>
      <c r="L20" s="96"/>
      <c r="M20" s="96"/>
      <c r="N20" s="96"/>
      <c r="O20" s="97"/>
    </row>
    <row r="21" spans="2:15">
      <c r="B21" s="728" t="s">
        <v>39</v>
      </c>
      <c r="C21" s="735">
        <f>(C15+C16)/C18</f>
        <v>0.16468669963106219</v>
      </c>
      <c r="D21" s="110" t="s">
        <v>35</v>
      </c>
      <c r="E21" s="110" t="s">
        <v>36</v>
      </c>
      <c r="F21" s="106"/>
      <c r="G21" s="106"/>
      <c r="H21" s="106"/>
      <c r="I21" s="106"/>
      <c r="J21" s="96"/>
      <c r="K21" s="96"/>
      <c r="L21" s="96"/>
      <c r="M21" s="96"/>
      <c r="N21" s="96"/>
      <c r="O21" s="97"/>
    </row>
    <row r="22" spans="2:15">
      <c r="B22" s="729"/>
      <c r="C22" s="732"/>
      <c r="D22" s="110"/>
      <c r="E22" s="110"/>
      <c r="F22" s="106"/>
      <c r="G22" s="106"/>
      <c r="H22" s="106"/>
      <c r="I22" s="106"/>
      <c r="J22" s="96"/>
      <c r="K22" s="96"/>
      <c r="L22" s="96"/>
      <c r="M22" s="96"/>
      <c r="N22" s="96"/>
      <c r="O22" s="97"/>
    </row>
    <row r="23" spans="2:15">
      <c r="B23" s="730" t="s">
        <v>41</v>
      </c>
      <c r="C23" s="736">
        <f>C19-C21</f>
        <v>1.5293394506514235E-2</v>
      </c>
      <c r="D23" s="110" t="s">
        <v>35</v>
      </c>
      <c r="E23" s="110" t="s">
        <v>36</v>
      </c>
      <c r="F23" s="115" t="s">
        <v>245</v>
      </c>
      <c r="G23" s="46"/>
      <c r="H23" s="106"/>
      <c r="I23" s="106"/>
      <c r="J23" s="96"/>
      <c r="K23" s="96"/>
      <c r="L23" s="96"/>
      <c r="M23" s="96"/>
      <c r="N23" s="96"/>
      <c r="O23" s="97"/>
    </row>
    <row r="24" spans="2:15" ht="13.5" thickBot="1">
      <c r="B24" s="116"/>
      <c r="C24" s="490"/>
      <c r="D24" s="118"/>
      <c r="E24" s="118"/>
      <c r="F24" s="102"/>
      <c r="G24" s="119"/>
      <c r="H24" s="102"/>
      <c r="I24" s="102"/>
      <c r="J24" s="102"/>
      <c r="K24" s="102"/>
      <c r="L24" s="102"/>
      <c r="M24" s="102"/>
      <c r="N24" s="102"/>
      <c r="O24" s="103"/>
    </row>
    <row r="25" spans="2:15">
      <c r="B25" s="109"/>
      <c r="C25" s="112"/>
      <c r="D25" s="109"/>
      <c r="E25" s="109"/>
    </row>
    <row r="26" spans="2:15">
      <c r="C26" s="112"/>
      <c r="D26" s="109"/>
      <c r="E26" s="109"/>
    </row>
    <row r="27" spans="2:15">
      <c r="B27" s="121"/>
      <c r="C27" s="112"/>
      <c r="D27" s="109"/>
      <c r="E27" s="109"/>
      <c r="J27" s="262"/>
    </row>
    <row r="28" spans="2:15">
      <c r="B28" s="439" t="s">
        <v>473</v>
      </c>
      <c r="J28" s="263"/>
    </row>
    <row r="29" spans="2:15" ht="44.25">
      <c r="B29" s="107" t="s">
        <v>244</v>
      </c>
      <c r="C29" s="2" t="s">
        <v>0</v>
      </c>
      <c r="D29" s="2" t="s">
        <v>2</v>
      </c>
      <c r="E29" s="3" t="s">
        <v>3</v>
      </c>
      <c r="J29" s="262"/>
    </row>
    <row r="30" spans="2:15" ht="25.5">
      <c r="B30" s="727">
        <v>2012</v>
      </c>
      <c r="C30" s="182" t="s">
        <v>50</v>
      </c>
      <c r="D30" s="727" t="s">
        <v>45</v>
      </c>
      <c r="E30" s="486">
        <f>C40</f>
        <v>1.8822828251014601E-2</v>
      </c>
      <c r="J30" s="262"/>
    </row>
    <row r="31" spans="2:15">
      <c r="B31" s="491"/>
      <c r="C31" s="1"/>
      <c r="D31" s="727" t="s">
        <v>10</v>
      </c>
      <c r="E31" s="492">
        <f>C39</f>
        <v>5.2285634030596118</v>
      </c>
      <c r="J31" s="264"/>
    </row>
    <row r="32" spans="2:15" ht="15">
      <c r="J32" s="266"/>
    </row>
    <row r="33" spans="2:13" ht="13.5" thickBot="1">
      <c r="J33" s="267"/>
    </row>
    <row r="34" spans="2:13" ht="29.25" customHeight="1">
      <c r="B34" s="123" t="s">
        <v>46</v>
      </c>
      <c r="C34" s="487">
        <v>160.333896754823</v>
      </c>
      <c r="D34" s="105" t="s">
        <v>33</v>
      </c>
      <c r="E34" s="411" t="s">
        <v>398</v>
      </c>
      <c r="F34" s="93"/>
      <c r="G34" s="93"/>
      <c r="H34" s="93"/>
      <c r="I34" s="93"/>
      <c r="J34" s="598"/>
      <c r="K34" s="93"/>
      <c r="L34" s="93"/>
      <c r="M34" s="94"/>
    </row>
    <row r="35" spans="2:13">
      <c r="B35" s="100" t="s">
        <v>366</v>
      </c>
      <c r="C35" s="488">
        <v>30665</v>
      </c>
      <c r="D35" s="47" t="s">
        <v>239</v>
      </c>
      <c r="E35" s="355" t="s">
        <v>417</v>
      </c>
      <c r="F35" s="63"/>
      <c r="G35" s="63"/>
      <c r="H35" s="47"/>
      <c r="J35" s="185"/>
      <c r="K35" s="96"/>
      <c r="L35" s="96"/>
      <c r="M35" s="97"/>
    </row>
    <row r="36" spans="2:13">
      <c r="B36" s="100" t="s">
        <v>367</v>
      </c>
      <c r="C36" s="484">
        <f>C34*10^6</f>
        <v>160333896.754823</v>
      </c>
      <c r="D36" s="47"/>
      <c r="F36" s="63"/>
      <c r="G36" s="63"/>
      <c r="H36" s="47"/>
      <c r="I36" s="96"/>
      <c r="J36" s="110"/>
      <c r="K36" s="96"/>
      <c r="L36" s="96"/>
      <c r="M36" s="97"/>
    </row>
    <row r="37" spans="2:13">
      <c r="B37" s="100" t="s">
        <v>362</v>
      </c>
      <c r="C37" s="484">
        <f>C35*1000</f>
        <v>30665000</v>
      </c>
      <c r="D37" s="47"/>
      <c r="E37" s="47"/>
      <c r="F37" s="63"/>
      <c r="G37" s="63"/>
      <c r="H37" s="47"/>
      <c r="I37" s="63"/>
      <c r="J37" s="111"/>
      <c r="K37" s="96"/>
      <c r="L37" s="96"/>
      <c r="M37" s="97"/>
    </row>
    <row r="38" spans="2:13">
      <c r="B38" s="99"/>
      <c r="C38" s="317"/>
      <c r="D38" s="47"/>
      <c r="E38" s="47"/>
      <c r="F38" s="96"/>
      <c r="G38" s="96"/>
      <c r="H38" s="96"/>
      <c r="I38" s="96"/>
      <c r="J38" s="110"/>
      <c r="K38" s="96"/>
      <c r="L38" s="96"/>
      <c r="M38" s="97"/>
    </row>
    <row r="39" spans="2:13">
      <c r="B39" s="100" t="s">
        <v>37</v>
      </c>
      <c r="C39" s="489">
        <f>C36/C37</f>
        <v>5.2285634030596118</v>
      </c>
      <c r="D39" s="47" t="s">
        <v>48</v>
      </c>
      <c r="E39" s="47"/>
      <c r="F39" s="96"/>
      <c r="G39" s="96"/>
      <c r="H39" s="96"/>
      <c r="I39" s="96"/>
      <c r="J39" s="111"/>
      <c r="K39" s="96"/>
      <c r="L39" s="96"/>
      <c r="M39" s="97"/>
    </row>
    <row r="40" spans="2:13">
      <c r="B40" s="100"/>
      <c r="C40" s="485">
        <f>C39*0.0036</f>
        <v>1.8822828251014601E-2</v>
      </c>
      <c r="D40" s="106" t="s">
        <v>49</v>
      </c>
      <c r="E40" s="106"/>
      <c r="F40" s="96"/>
      <c r="G40" s="96"/>
      <c r="H40" s="96"/>
      <c r="I40" s="96"/>
      <c r="J40" s="110"/>
      <c r="K40" s="106"/>
      <c r="L40" s="96"/>
      <c r="M40" s="97"/>
    </row>
    <row r="41" spans="2:13">
      <c r="B41" s="99"/>
      <c r="C41" s="47"/>
      <c r="D41" s="106"/>
      <c r="E41" s="106"/>
      <c r="F41" s="96"/>
      <c r="G41" s="96"/>
      <c r="H41" s="96"/>
      <c r="I41" s="96"/>
      <c r="J41" s="111"/>
      <c r="K41" s="106"/>
      <c r="L41" s="96"/>
      <c r="M41" s="97"/>
    </row>
    <row r="42" spans="2:13">
      <c r="B42" s="99"/>
      <c r="C42" s="47" t="s">
        <v>368</v>
      </c>
      <c r="D42" s="63"/>
      <c r="E42" s="96"/>
      <c r="F42" s="96"/>
      <c r="G42" s="96"/>
      <c r="H42" s="96"/>
      <c r="I42" s="96"/>
      <c r="J42" s="110"/>
      <c r="K42" s="96"/>
      <c r="L42" s="96"/>
      <c r="M42" s="97"/>
    </row>
    <row r="43" spans="2:13" ht="13.5" thickBot="1">
      <c r="B43" s="101"/>
      <c r="C43" s="102"/>
      <c r="D43" s="102"/>
      <c r="E43" s="102"/>
      <c r="F43" s="102"/>
      <c r="G43" s="102"/>
      <c r="H43" s="102"/>
      <c r="I43" s="102"/>
      <c r="J43" s="599"/>
      <c r="K43" s="102"/>
      <c r="L43" s="102"/>
      <c r="M43" s="103"/>
    </row>
    <row r="44" spans="2:13">
      <c r="B44" s="86"/>
      <c r="C44" s="86"/>
    </row>
    <row r="45" spans="2:13">
      <c r="B45" s="86"/>
      <c r="C45" s="86"/>
    </row>
    <row r="46" spans="2:13">
      <c r="B46" s="777"/>
      <c r="C46" s="778"/>
      <c r="D46" s="778"/>
      <c r="E46" s="778"/>
      <c r="F46" s="778"/>
      <c r="G46" s="778"/>
      <c r="H46" s="778"/>
      <c r="I46" s="778"/>
    </row>
    <row r="47" spans="2:13" ht="15">
      <c r="E47" s="410"/>
    </row>
    <row r="49" spans="1:13">
      <c r="B49" s="48" t="s">
        <v>453</v>
      </c>
    </row>
    <row r="50" spans="1:13" ht="14.25">
      <c r="A50" s="96"/>
      <c r="B50" s="710" t="s">
        <v>457</v>
      </c>
      <c r="C50" s="423" t="s">
        <v>478</v>
      </c>
      <c r="D50" s="423" t="s">
        <v>479</v>
      </c>
      <c r="E50" s="424" t="s">
        <v>480</v>
      </c>
      <c r="F50" s="224"/>
      <c r="G50" s="224"/>
      <c r="H50" s="224"/>
      <c r="I50" s="96"/>
      <c r="J50" s="96"/>
      <c r="K50" s="96"/>
    </row>
    <row r="51" spans="1:13" ht="15">
      <c r="A51" s="96"/>
      <c r="B51" s="373" t="s">
        <v>455</v>
      </c>
      <c r="C51" s="560">
        <v>1</v>
      </c>
      <c r="D51" s="561">
        <v>21</v>
      </c>
      <c r="E51" s="562">
        <v>310</v>
      </c>
      <c r="F51" s="224"/>
      <c r="G51" s="224"/>
      <c r="H51" s="229"/>
      <c r="I51" s="96"/>
      <c r="J51" s="96"/>
      <c r="K51" s="96"/>
    </row>
    <row r="52" spans="1:13" ht="15">
      <c r="A52" s="96"/>
      <c r="B52" s="50" t="s">
        <v>456</v>
      </c>
      <c r="C52" s="563">
        <v>1</v>
      </c>
      <c r="D52" s="563">
        <v>25</v>
      </c>
      <c r="E52" s="563">
        <v>298</v>
      </c>
      <c r="F52" s="224"/>
      <c r="G52" s="224"/>
      <c r="H52" s="229"/>
      <c r="I52" s="96"/>
      <c r="J52" s="96"/>
      <c r="K52" s="96"/>
    </row>
    <row r="53" spans="1:13">
      <c r="A53" s="96"/>
      <c r="B53" s="50" t="s">
        <v>454</v>
      </c>
      <c r="C53" s="564" t="s">
        <v>212</v>
      </c>
      <c r="D53" s="565">
        <f>D52/D51</f>
        <v>1.1904761904761905</v>
      </c>
      <c r="E53" s="566">
        <f>E52/E51</f>
        <v>0.96129032258064517</v>
      </c>
      <c r="F53" s="96"/>
      <c r="G53" s="96"/>
      <c r="H53" s="96"/>
      <c r="I53" s="96"/>
      <c r="J53" s="96"/>
      <c r="K53" s="96"/>
    </row>
    <row r="54" spans="1:13">
      <c r="A54" s="96"/>
      <c r="B54" s="129" t="s">
        <v>485</v>
      </c>
      <c r="F54" s="96"/>
      <c r="G54" s="96"/>
      <c r="H54" s="96"/>
      <c r="I54" s="96"/>
      <c r="J54" s="96"/>
      <c r="K54" s="96"/>
    </row>
    <row r="55" spans="1:13">
      <c r="A55" s="96"/>
      <c r="B55" s="15" t="s">
        <v>487</v>
      </c>
      <c r="F55" s="96"/>
      <c r="G55" s="96"/>
      <c r="H55" s="96"/>
      <c r="I55" s="96"/>
      <c r="J55" s="96"/>
      <c r="K55" s="96"/>
    </row>
    <row r="56" spans="1:13">
      <c r="A56" s="96"/>
      <c r="B56" s="47" t="s">
        <v>458</v>
      </c>
      <c r="C56" s="96"/>
      <c r="D56" s="96"/>
      <c r="E56" s="96"/>
      <c r="F56" s="96"/>
      <c r="G56" s="96"/>
      <c r="H56" s="96"/>
      <c r="I56" s="96"/>
      <c r="J56" s="96"/>
      <c r="K56" s="96"/>
    </row>
    <row r="57" spans="1:13">
      <c r="A57" s="96"/>
      <c r="C57" s="96"/>
      <c r="D57" s="96"/>
      <c r="E57" s="96"/>
      <c r="F57" s="96"/>
      <c r="G57" s="96"/>
      <c r="H57" s="96"/>
      <c r="I57" s="96"/>
      <c r="J57" s="96"/>
      <c r="K57" s="96"/>
    </row>
    <row r="58" spans="1:13">
      <c r="A58" s="96"/>
      <c r="B58" s="96"/>
      <c r="C58" s="96"/>
      <c r="D58" s="96"/>
      <c r="E58" s="96"/>
      <c r="F58" s="96"/>
      <c r="G58" s="96"/>
      <c r="H58" s="96"/>
      <c r="I58" s="96"/>
      <c r="J58" s="96"/>
      <c r="K58" s="96"/>
    </row>
    <row r="59" spans="1:13">
      <c r="A59" s="96"/>
      <c r="B59" s="96"/>
      <c r="C59" s="96"/>
      <c r="D59" s="96"/>
      <c r="E59" s="96"/>
      <c r="F59" s="96"/>
      <c r="G59" s="96"/>
      <c r="H59" s="96"/>
      <c r="I59" s="96"/>
      <c r="J59" s="96"/>
      <c r="K59" s="96"/>
    </row>
    <row r="60" spans="1:13">
      <c r="B60" s="435" t="s">
        <v>472</v>
      </c>
      <c r="C60" s="86"/>
      <c r="D60" s="86"/>
      <c r="E60" s="86"/>
    </row>
    <row r="61" spans="1:13">
      <c r="B61" s="434" t="s">
        <v>481</v>
      </c>
      <c r="C61" s="435"/>
      <c r="D61" s="435"/>
      <c r="E61" s="86"/>
      <c r="I61" s="4"/>
      <c r="J61" s="4"/>
    </row>
    <row r="62" spans="1:13" ht="44.25">
      <c r="B62" s="107" t="s">
        <v>244</v>
      </c>
      <c r="C62" s="2" t="s">
        <v>0</v>
      </c>
      <c r="D62" s="2" t="s">
        <v>2</v>
      </c>
      <c r="E62" s="3" t="s">
        <v>3</v>
      </c>
      <c r="I62" s="63"/>
      <c r="J62" s="63"/>
      <c r="K62" s="63"/>
      <c r="L62" s="63"/>
      <c r="M62" s="63"/>
    </row>
    <row r="63" spans="1:13" ht="25.5">
      <c r="B63" s="727">
        <v>2012</v>
      </c>
      <c r="C63" s="315" t="s">
        <v>51</v>
      </c>
      <c r="D63" s="737" t="s">
        <v>45</v>
      </c>
      <c r="E63" s="486">
        <f>C79</f>
        <v>1.534045884343832E-2</v>
      </c>
      <c r="I63" s="63"/>
      <c r="J63" s="63"/>
      <c r="K63" s="63"/>
      <c r="L63" s="63"/>
      <c r="M63" s="63"/>
    </row>
    <row r="64" spans="1:13">
      <c r="B64" s="96"/>
      <c r="C64" s="183"/>
      <c r="D64" s="114"/>
      <c r="E64" s="184"/>
      <c r="I64" s="96"/>
      <c r="J64" s="96"/>
      <c r="K64" s="96"/>
      <c r="L64" s="96"/>
    </row>
    <row r="65" spans="2:15" ht="13.5" thickBot="1">
      <c r="I65" s="102"/>
      <c r="J65" s="265"/>
      <c r="K65" s="102"/>
      <c r="L65" s="102"/>
    </row>
    <row r="66" spans="2:15">
      <c r="B66" s="155" t="s">
        <v>260</v>
      </c>
      <c r="C66" s="105" t="s">
        <v>494</v>
      </c>
      <c r="D66" s="93"/>
      <c r="E66" s="93"/>
      <c r="F66" s="93"/>
      <c r="G66" s="93"/>
      <c r="H66" s="93"/>
      <c r="M66" s="93"/>
      <c r="N66" s="93"/>
      <c r="O66" s="94"/>
    </row>
    <row r="67" spans="2:15">
      <c r="B67" s="100" t="s">
        <v>275</v>
      </c>
      <c r="C67" s="106" t="s">
        <v>276</v>
      </c>
      <c r="D67" s="96"/>
      <c r="E67" s="96"/>
      <c r="F67" s="96"/>
      <c r="G67" s="96"/>
      <c r="H67" s="96"/>
      <c r="I67" s="96"/>
      <c r="J67" s="96"/>
      <c r="K67" s="96"/>
      <c r="L67" s="96"/>
      <c r="M67" s="96"/>
      <c r="N67" s="96"/>
      <c r="O67" s="97"/>
    </row>
    <row r="68" spans="2:15">
      <c r="B68" s="100"/>
      <c r="C68" s="106" t="s">
        <v>495</v>
      </c>
      <c r="D68" s="96"/>
      <c r="E68" s="96"/>
      <c r="F68" s="96"/>
      <c r="G68" s="96"/>
      <c r="H68" s="96"/>
      <c r="I68" s="96"/>
      <c r="J68" s="96"/>
      <c r="K68" s="96"/>
      <c r="L68" s="96"/>
      <c r="M68" s="96"/>
      <c r="N68" s="96"/>
      <c r="O68" s="97"/>
    </row>
    <row r="69" spans="2:15">
      <c r="B69" s="99"/>
      <c r="C69" s="96"/>
      <c r="D69" s="96"/>
      <c r="E69" s="113"/>
      <c r="F69" s="96"/>
      <c r="G69" s="96"/>
      <c r="H69" s="96"/>
      <c r="I69" s="96"/>
      <c r="J69" s="96"/>
      <c r="K69" s="96"/>
      <c r="L69" s="96"/>
      <c r="M69" s="96"/>
      <c r="N69" s="96"/>
      <c r="O69" s="97"/>
    </row>
    <row r="70" spans="2:15">
      <c r="B70" s="99"/>
      <c r="C70" s="96"/>
      <c r="D70" s="96"/>
      <c r="E70" s="113" t="s">
        <v>43</v>
      </c>
      <c r="F70" s="96"/>
      <c r="G70" s="96"/>
      <c r="H70" s="96"/>
      <c r="I70" s="96"/>
      <c r="J70" s="96"/>
      <c r="K70" s="96"/>
      <c r="L70" s="96"/>
      <c r="M70" s="96"/>
      <c r="N70" s="96"/>
      <c r="O70" s="97"/>
    </row>
    <row r="71" spans="2:15">
      <c r="B71" s="728" t="s">
        <v>32</v>
      </c>
      <c r="C71" s="731">
        <f>C92</f>
        <v>6303.1592885350938</v>
      </c>
      <c r="D71" s="110" t="s">
        <v>33</v>
      </c>
      <c r="E71" s="15" t="s">
        <v>398</v>
      </c>
      <c r="F71" s="106"/>
      <c r="G71" s="106"/>
      <c r="H71" s="106"/>
      <c r="I71" s="106"/>
      <c r="J71" s="96"/>
      <c r="K71" s="96"/>
      <c r="L71" s="96"/>
      <c r="M71" s="96"/>
      <c r="N71" s="96"/>
      <c r="O71" s="97"/>
    </row>
    <row r="72" spans="2:15">
      <c r="B72" s="728" t="s">
        <v>30</v>
      </c>
      <c r="C72" s="592">
        <f>C97</f>
        <v>774.59946550058953</v>
      </c>
      <c r="D72" s="110" t="s">
        <v>33</v>
      </c>
      <c r="E72" s="15" t="s">
        <v>398</v>
      </c>
      <c r="F72" s="106"/>
      <c r="G72" s="106"/>
      <c r="H72" s="106"/>
      <c r="I72" s="106"/>
      <c r="J72" s="96"/>
      <c r="K72" s="96"/>
      <c r="L72" s="96"/>
      <c r="M72" s="96"/>
      <c r="N72" s="96"/>
      <c r="O72" s="97"/>
    </row>
    <row r="73" spans="2:15">
      <c r="B73" s="728" t="s">
        <v>38</v>
      </c>
      <c r="C73" s="733">
        <f>C17</f>
        <v>39204.581551219766</v>
      </c>
      <c r="D73" s="110" t="s">
        <v>34</v>
      </c>
      <c r="E73" s="355" t="s">
        <v>417</v>
      </c>
      <c r="F73" s="106"/>
      <c r="G73" s="106"/>
      <c r="H73" s="106"/>
      <c r="I73" s="106"/>
      <c r="J73" s="96"/>
      <c r="K73" s="96"/>
      <c r="L73" s="96"/>
      <c r="M73" s="96"/>
      <c r="N73" s="96"/>
      <c r="O73" s="97"/>
    </row>
    <row r="74" spans="2:15">
      <c r="B74" s="729" t="s">
        <v>406</v>
      </c>
      <c r="C74" s="733">
        <f>C18</f>
        <v>42845.258870449536</v>
      </c>
      <c r="D74" s="110"/>
      <c r="E74" s="355" t="s">
        <v>417</v>
      </c>
      <c r="G74" s="106"/>
      <c r="H74" s="106"/>
      <c r="I74" s="106"/>
      <c r="J74" s="96"/>
      <c r="K74" s="96"/>
      <c r="L74" s="96"/>
      <c r="M74" s="96"/>
      <c r="N74" s="96"/>
      <c r="O74" s="97"/>
    </row>
    <row r="75" spans="2:15">
      <c r="B75" s="728" t="s">
        <v>40</v>
      </c>
      <c r="C75" s="734">
        <f>(C71+C72)/C73</f>
        <v>0.18053397011236494</v>
      </c>
      <c r="D75" s="110" t="s">
        <v>35</v>
      </c>
      <c r="E75" s="110" t="s">
        <v>36</v>
      </c>
      <c r="F75" s="106"/>
      <c r="G75" s="106"/>
      <c r="H75" s="106"/>
      <c r="I75" s="106"/>
      <c r="J75" s="96"/>
      <c r="K75" s="96"/>
      <c r="L75" s="96"/>
      <c r="M75" s="96"/>
      <c r="N75" s="96"/>
      <c r="O75" s="97"/>
    </row>
    <row r="76" spans="2:15">
      <c r="B76" s="729"/>
      <c r="C76" s="732"/>
      <c r="D76" s="110"/>
      <c r="E76" s="110"/>
      <c r="F76" s="106"/>
      <c r="G76" s="106"/>
      <c r="H76" s="106"/>
      <c r="I76" s="106"/>
      <c r="J76" s="96"/>
      <c r="K76" s="96"/>
      <c r="L76" s="96"/>
      <c r="M76" s="96"/>
      <c r="N76" s="96"/>
      <c r="O76" s="97"/>
    </row>
    <row r="77" spans="2:15">
      <c r="B77" s="728" t="s">
        <v>39</v>
      </c>
      <c r="C77" s="735">
        <f>(C71+C72)/C74</f>
        <v>0.16519351126892662</v>
      </c>
      <c r="D77" s="110" t="s">
        <v>35</v>
      </c>
      <c r="E77" s="110" t="s">
        <v>36</v>
      </c>
      <c r="F77" s="106"/>
      <c r="G77" s="106"/>
      <c r="H77" s="106"/>
      <c r="I77" s="106"/>
      <c r="J77" s="96"/>
      <c r="K77" s="96"/>
      <c r="L77" s="96"/>
      <c r="M77" s="96"/>
      <c r="N77" s="96"/>
      <c r="O77" s="97"/>
    </row>
    <row r="78" spans="2:15">
      <c r="B78" s="729"/>
      <c r="C78" s="732"/>
      <c r="D78" s="110"/>
      <c r="E78" s="110"/>
      <c r="F78" s="106"/>
      <c r="G78" s="106"/>
      <c r="H78" s="106"/>
      <c r="I78" s="106"/>
      <c r="J78" s="96"/>
      <c r="K78" s="96"/>
      <c r="L78" s="96"/>
      <c r="M78" s="96"/>
      <c r="N78" s="96"/>
      <c r="O78" s="97"/>
    </row>
    <row r="79" spans="2:15">
      <c r="B79" s="730" t="s">
        <v>41</v>
      </c>
      <c r="C79" s="736">
        <f>C75-C77</f>
        <v>1.534045884343832E-2</v>
      </c>
      <c r="D79" s="110" t="s">
        <v>35</v>
      </c>
      <c r="E79" s="110" t="s">
        <v>36</v>
      </c>
      <c r="F79" s="115" t="s">
        <v>245</v>
      </c>
      <c r="G79" s="46"/>
      <c r="H79" s="106"/>
      <c r="I79" s="106"/>
      <c r="J79" s="96"/>
      <c r="K79" s="96"/>
      <c r="L79" s="96"/>
      <c r="M79" s="96"/>
      <c r="N79" s="96"/>
      <c r="O79" s="97"/>
    </row>
    <row r="80" spans="2:15" ht="13.5" thickBot="1">
      <c r="B80" s="116"/>
      <c r="C80" s="117"/>
      <c r="D80" s="118"/>
      <c r="E80" s="118"/>
      <c r="F80" s="102"/>
      <c r="G80" s="119"/>
      <c r="H80" s="102"/>
      <c r="I80" s="102"/>
      <c r="J80" s="102"/>
      <c r="K80" s="102"/>
      <c r="L80" s="102"/>
      <c r="M80" s="102"/>
      <c r="N80" s="102"/>
      <c r="O80" s="103"/>
    </row>
    <row r="83" spans="2:6">
      <c r="C83" s="413"/>
    </row>
    <row r="90" spans="2:6" ht="15.75">
      <c r="B90" s="419"/>
      <c r="C90" s="419" t="s">
        <v>484</v>
      </c>
      <c r="D90" s="419" t="s">
        <v>228</v>
      </c>
      <c r="E90" s="419" t="s">
        <v>229</v>
      </c>
      <c r="F90" s="131" t="s">
        <v>230</v>
      </c>
    </row>
    <row r="91" spans="2:6">
      <c r="B91" s="373" t="s">
        <v>475</v>
      </c>
      <c r="C91" s="726" t="s">
        <v>212</v>
      </c>
      <c r="D91" s="430">
        <v>6281.5188813447094</v>
      </c>
      <c r="E91" s="431">
        <v>0.21127680635799453</v>
      </c>
      <c r="F91" s="431">
        <v>5.4894251783337303E-2</v>
      </c>
    </row>
    <row r="92" spans="2:6">
      <c r="B92" s="50"/>
      <c r="C92" s="420">
        <f>SUM(D92:F92)</f>
        <v>6303.1592885350938</v>
      </c>
      <c r="D92" s="420">
        <f>D91*C52</f>
        <v>6281.5188813447094</v>
      </c>
      <c r="E92" s="420">
        <f>E91*D52</f>
        <v>5.2819201589498634</v>
      </c>
      <c r="F92" s="420">
        <f>F91*E52</f>
        <v>16.358487031434517</v>
      </c>
    </row>
    <row r="93" spans="2:6">
      <c r="B93" s="129"/>
      <c r="C93" s="129"/>
      <c r="D93" s="129"/>
      <c r="E93" s="129"/>
      <c r="F93" s="129"/>
    </row>
    <row r="94" spans="2:6">
      <c r="B94" s="129"/>
      <c r="C94" s="129"/>
      <c r="D94" s="129"/>
      <c r="E94" s="129"/>
      <c r="F94" s="129"/>
    </row>
    <row r="95" spans="2:6" ht="15.75">
      <c r="B95" s="419"/>
      <c r="C95" s="419" t="s">
        <v>484</v>
      </c>
      <c r="D95" s="419" t="s">
        <v>228</v>
      </c>
      <c r="E95" s="419" t="s">
        <v>229</v>
      </c>
      <c r="F95" s="131" t="s">
        <v>230</v>
      </c>
    </row>
    <row r="96" spans="2:6">
      <c r="B96" s="373" t="s">
        <v>474</v>
      </c>
      <c r="C96" s="726" t="s">
        <v>212</v>
      </c>
      <c r="D96" s="421">
        <v>640.04884288294545</v>
      </c>
      <c r="E96" s="432">
        <v>5.382024904705764</v>
      </c>
      <c r="F96" s="738" t="s">
        <v>212</v>
      </c>
    </row>
    <row r="97" spans="2:13">
      <c r="B97" s="50"/>
      <c r="C97" s="420">
        <f>SUM(D97:E97)</f>
        <v>774.59946550058953</v>
      </c>
      <c r="D97" s="420">
        <f>D96*C52</f>
        <v>640.04884288294545</v>
      </c>
      <c r="E97" s="420">
        <f>E96*D52</f>
        <v>134.55062261764411</v>
      </c>
      <c r="F97" s="420"/>
    </row>
    <row r="102" spans="2:13">
      <c r="B102" s="439" t="s">
        <v>473</v>
      </c>
    </row>
    <row r="103" spans="2:13">
      <c r="B103" s="434" t="s">
        <v>481</v>
      </c>
    </row>
    <row r="104" spans="2:13" ht="44.25">
      <c r="B104" s="107" t="s">
        <v>244</v>
      </c>
      <c r="C104" s="2" t="s">
        <v>0</v>
      </c>
      <c r="D104" s="2" t="s">
        <v>2</v>
      </c>
      <c r="E104" s="3" t="s">
        <v>3</v>
      </c>
    </row>
    <row r="105" spans="2:13" ht="25.5">
      <c r="B105" s="727">
        <v>2012</v>
      </c>
      <c r="C105" s="182" t="s">
        <v>50</v>
      </c>
      <c r="D105" s="122" t="s">
        <v>45</v>
      </c>
      <c r="E105" s="486">
        <f>C115</f>
        <v>2.2381524267868297E-2</v>
      </c>
    </row>
    <row r="106" spans="2:13">
      <c r="B106" s="108"/>
      <c r="C106" s="1"/>
      <c r="D106" s="122" t="s">
        <v>10</v>
      </c>
      <c r="E106" s="492">
        <f>C114</f>
        <v>6.2170900744078601</v>
      </c>
    </row>
    <row r="108" spans="2:13" ht="13.5" thickBot="1"/>
    <row r="109" spans="2:13" ht="25.5">
      <c r="B109" s="123" t="s">
        <v>46</v>
      </c>
      <c r="C109" s="487">
        <f>C123</f>
        <v>190.64706713171702</v>
      </c>
      <c r="D109" s="105" t="s">
        <v>33</v>
      </c>
      <c r="E109" s="411" t="s">
        <v>398</v>
      </c>
      <c r="F109" s="93"/>
      <c r="G109" s="93"/>
      <c r="H109" s="93"/>
      <c r="I109" s="93"/>
      <c r="J109" s="93"/>
      <c r="K109" s="93"/>
      <c r="L109" s="93"/>
      <c r="M109" s="94"/>
    </row>
    <row r="110" spans="2:13">
      <c r="B110" s="100" t="s">
        <v>366</v>
      </c>
      <c r="C110" s="488">
        <v>30665</v>
      </c>
      <c r="D110" s="47" t="s">
        <v>239</v>
      </c>
      <c r="E110" s="355" t="s">
        <v>417</v>
      </c>
      <c r="F110" s="63"/>
      <c r="G110" s="63"/>
      <c r="H110" s="47"/>
      <c r="I110" s="96"/>
      <c r="J110" s="96"/>
      <c r="K110" s="96"/>
      <c r="L110" s="96"/>
      <c r="M110" s="97"/>
    </row>
    <row r="111" spans="2:13">
      <c r="B111" s="100" t="s">
        <v>367</v>
      </c>
      <c r="C111" s="484">
        <f>C109*10^6</f>
        <v>190647067.13171703</v>
      </c>
      <c r="D111" s="47"/>
      <c r="E111" s="96"/>
      <c r="F111" s="63"/>
      <c r="G111" s="63"/>
      <c r="H111" s="47"/>
      <c r="I111" s="96"/>
      <c r="J111" s="96"/>
      <c r="K111" s="96"/>
      <c r="L111" s="96"/>
      <c r="M111" s="97"/>
    </row>
    <row r="112" spans="2:13">
      <c r="B112" s="100" t="s">
        <v>362</v>
      </c>
      <c r="C112" s="484">
        <f>C110*1000</f>
        <v>30665000</v>
      </c>
      <c r="D112" s="47"/>
      <c r="E112" s="47"/>
      <c r="F112" s="63"/>
      <c r="G112" s="63"/>
      <c r="H112" s="47"/>
      <c r="I112" s="63"/>
      <c r="J112" s="96"/>
      <c r="K112" s="96"/>
      <c r="L112" s="96"/>
      <c r="M112" s="97"/>
    </row>
    <row r="113" spans="2:13">
      <c r="B113" s="99"/>
      <c r="C113" s="317"/>
      <c r="D113" s="47"/>
      <c r="E113" s="47"/>
      <c r="F113" s="96"/>
      <c r="G113" s="96"/>
      <c r="H113" s="96"/>
      <c r="I113" s="96"/>
      <c r="J113" s="96"/>
      <c r="K113" s="96"/>
      <c r="L113" s="96"/>
      <c r="M113" s="97"/>
    </row>
    <row r="114" spans="2:13">
      <c r="B114" s="100" t="s">
        <v>37</v>
      </c>
      <c r="C114" s="489">
        <f>C111/C112</f>
        <v>6.2170900744078601</v>
      </c>
      <c r="D114" s="47" t="s">
        <v>48</v>
      </c>
      <c r="E114" s="47"/>
      <c r="F114" s="96"/>
      <c r="G114" s="96"/>
      <c r="H114" s="96"/>
      <c r="I114" s="96"/>
      <c r="J114" s="96"/>
      <c r="K114" s="96"/>
      <c r="L114" s="96"/>
      <c r="M114" s="97"/>
    </row>
    <row r="115" spans="2:13">
      <c r="B115" s="100"/>
      <c r="C115" s="485">
        <f>C114*0.0036</f>
        <v>2.2381524267868297E-2</v>
      </c>
      <c r="D115" s="106" t="s">
        <v>49</v>
      </c>
      <c r="E115" s="106"/>
      <c r="F115" s="96"/>
      <c r="G115" s="96"/>
      <c r="H115" s="96"/>
      <c r="I115" s="96"/>
      <c r="J115" s="96"/>
      <c r="K115" s="96"/>
      <c r="L115" s="96"/>
      <c r="M115" s="97"/>
    </row>
    <row r="116" spans="2:13">
      <c r="B116" s="99"/>
      <c r="C116" s="106"/>
      <c r="D116" s="106"/>
      <c r="E116" s="106"/>
      <c r="F116" s="96"/>
      <c r="G116" s="96"/>
      <c r="H116" s="96"/>
      <c r="I116" s="96"/>
      <c r="J116" s="96"/>
      <c r="K116" s="96"/>
      <c r="L116" s="96"/>
      <c r="M116" s="97"/>
    </row>
    <row r="117" spans="2:13">
      <c r="B117" s="99"/>
      <c r="C117" s="47" t="s">
        <v>368</v>
      </c>
      <c r="D117" s="63"/>
      <c r="E117" s="96"/>
      <c r="F117" s="96"/>
      <c r="G117" s="96"/>
      <c r="H117" s="96"/>
      <c r="I117" s="96"/>
      <c r="J117" s="96"/>
      <c r="K117" s="96"/>
      <c r="L117" s="96"/>
      <c r="M117" s="97"/>
    </row>
    <row r="118" spans="2:13" ht="13.5" thickBot="1">
      <c r="B118" s="101"/>
      <c r="C118" s="102"/>
      <c r="D118" s="102"/>
      <c r="E118" s="102"/>
      <c r="F118" s="102"/>
      <c r="G118" s="102"/>
      <c r="H118" s="102"/>
      <c r="I118" s="102"/>
      <c r="J118" s="102"/>
      <c r="K118" s="102"/>
      <c r="L118" s="102"/>
      <c r="M118" s="103"/>
    </row>
    <row r="121" spans="2:13" ht="15.75">
      <c r="B121" s="419"/>
      <c r="C121" s="419" t="s">
        <v>484</v>
      </c>
      <c r="D121" s="419" t="s">
        <v>228</v>
      </c>
      <c r="E121" s="419" t="s">
        <v>229</v>
      </c>
      <c r="F121" s="131" t="s">
        <v>230</v>
      </c>
    </row>
    <row r="122" spans="2:13">
      <c r="B122" s="779" t="s">
        <v>476</v>
      </c>
      <c r="C122" s="726" t="s">
        <v>212</v>
      </c>
      <c r="D122" s="421">
        <v>1.189752276130033</v>
      </c>
      <c r="E122" s="432">
        <v>7.5782925942234796</v>
      </c>
      <c r="F122" s="738" t="s">
        <v>212</v>
      </c>
    </row>
    <row r="123" spans="2:13">
      <c r="B123" s="780"/>
      <c r="C123" s="420">
        <f>SUM(D123:E123)</f>
        <v>190.64706713171702</v>
      </c>
      <c r="D123" s="420">
        <f>D122*C52</f>
        <v>1.189752276130033</v>
      </c>
      <c r="E123" s="420">
        <f>E122*D52</f>
        <v>189.45731485558699</v>
      </c>
      <c r="F123" s="420"/>
    </row>
    <row r="125" spans="2:13">
      <c r="E125" s="436"/>
    </row>
  </sheetData>
  <mergeCells count="2">
    <mergeCell ref="B46:I46"/>
    <mergeCell ref="B122:B123"/>
  </mergeCells>
  <hyperlinks>
    <hyperlink ref="E15" r:id="rId1"/>
    <hyperlink ref="E16" r:id="rId2"/>
    <hyperlink ref="E17" r:id="rId3"/>
    <hyperlink ref="E18" r:id="rId4"/>
    <hyperlink ref="E34" r:id="rId5"/>
    <hyperlink ref="E35" r:id="rId6"/>
    <hyperlink ref="E71" r:id="rId7"/>
    <hyperlink ref="E72" r:id="rId8"/>
    <hyperlink ref="E73" r:id="rId9"/>
    <hyperlink ref="E74" r:id="rId10"/>
    <hyperlink ref="E109" r:id="rId11"/>
    <hyperlink ref="E110" r:id="rId12"/>
    <hyperlink ref="B55" r:id="rId13"/>
  </hyperlinks>
  <pageMargins left="0.74803149606299213" right="0.74803149606299213" top="0.98425196850393704" bottom="0.98425196850393704" header="0.51181102362204722" footer="0.51181102362204722"/>
  <pageSetup paperSize="8" scale="39" orientation="landscape" r:id="rId14"/>
  <headerFooter alignWithMargins="0"/>
  <drawing r:id="rId15"/>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dimension ref="A1:R68"/>
  <sheetViews>
    <sheetView topLeftCell="A20" workbookViewId="0">
      <selection activeCell="B34" sqref="B34"/>
    </sheetView>
  </sheetViews>
  <sheetFormatPr defaultColWidth="9.140625" defaultRowHeight="12.75"/>
  <cols>
    <col min="1" max="1" width="9.140625" style="7"/>
    <col min="2" max="2" width="32.7109375" style="7" bestFit="1" customWidth="1"/>
    <col min="3" max="3" width="12" style="7" bestFit="1" customWidth="1"/>
    <col min="4" max="4" width="23.85546875" style="7" customWidth="1"/>
    <col min="5" max="5" width="20.28515625" style="7" bestFit="1" customWidth="1"/>
    <col min="6" max="6" width="15.5703125" style="7" customWidth="1"/>
    <col min="7" max="8" width="9.140625" style="7"/>
    <col min="9" max="9" width="64.42578125" style="7" customWidth="1"/>
    <col min="10" max="16384" width="9.140625" style="7"/>
  </cols>
  <sheetData>
    <row r="1" spans="1:9">
      <c r="B1" s="437" t="s">
        <v>277</v>
      </c>
    </row>
    <row r="2" spans="1:9">
      <c r="D2" s="188"/>
      <c r="E2" s="86"/>
    </row>
    <row r="3" spans="1:9">
      <c r="B3" s="19" t="s">
        <v>431</v>
      </c>
      <c r="E3" s="86"/>
    </row>
    <row r="4" spans="1:9" ht="52.5" customHeight="1">
      <c r="B4" s="330" t="s">
        <v>0</v>
      </c>
      <c r="C4" s="330" t="s">
        <v>2</v>
      </c>
      <c r="D4" s="210" t="s">
        <v>104</v>
      </c>
      <c r="E4" s="331"/>
    </row>
    <row r="5" spans="1:9">
      <c r="B5" s="200" t="s">
        <v>100</v>
      </c>
      <c r="C5" s="600" t="s">
        <v>61</v>
      </c>
      <c r="D5" s="465">
        <f>F17</f>
        <v>0.17662093109571703</v>
      </c>
      <c r="E5" s="331"/>
    </row>
    <row r="6" spans="1:9">
      <c r="B6" s="200" t="s">
        <v>508</v>
      </c>
      <c r="C6" s="600" t="s">
        <v>61</v>
      </c>
      <c r="D6" s="465">
        <f>F18</f>
        <v>0.22957948343367929</v>
      </c>
      <c r="E6" s="331"/>
    </row>
    <row r="7" spans="1:9">
      <c r="B7" s="200" t="s">
        <v>102</v>
      </c>
      <c r="C7" s="600" t="s">
        <v>61</v>
      </c>
      <c r="D7" s="465">
        <f>F19</f>
        <v>0.30111511957605763</v>
      </c>
      <c r="E7" s="331"/>
    </row>
    <row r="8" spans="1:9">
      <c r="B8" s="200" t="s">
        <v>348</v>
      </c>
      <c r="C8" s="600" t="s">
        <v>61</v>
      </c>
      <c r="D8" s="465">
        <f>F18</f>
        <v>0.22957948343367929</v>
      </c>
      <c r="E8" s="331"/>
    </row>
    <row r="9" spans="1:9">
      <c r="B9" s="200" t="s">
        <v>105</v>
      </c>
      <c r="C9" s="600" t="s">
        <v>61</v>
      </c>
      <c r="D9" s="465">
        <f>F20</f>
        <v>0.30111511957605763</v>
      </c>
      <c r="E9" s="331"/>
    </row>
    <row r="10" spans="1:9">
      <c r="B10" s="212" t="s">
        <v>106</v>
      </c>
      <c r="C10" s="600" t="s">
        <v>107</v>
      </c>
      <c r="D10" s="465">
        <f>C27</f>
        <v>0.10754111413430631</v>
      </c>
      <c r="E10" s="331"/>
    </row>
    <row r="11" spans="1:9">
      <c r="B11" s="604" t="s">
        <v>349</v>
      </c>
      <c r="C11" s="605"/>
      <c r="D11" s="605"/>
      <c r="E11" s="331"/>
    </row>
    <row r="12" spans="1:9">
      <c r="E12" s="331"/>
    </row>
    <row r="13" spans="1:9">
      <c r="B13" s="157"/>
      <c r="C13" s="188"/>
      <c r="D13" s="188"/>
      <c r="E13" s="86"/>
    </row>
    <row r="14" spans="1:9">
      <c r="B14" s="157"/>
      <c r="C14" s="188"/>
      <c r="D14" s="188"/>
      <c r="E14" s="86"/>
    </row>
    <row r="15" spans="1:9" ht="13.5" thickBot="1">
      <c r="A15" s="318"/>
      <c r="B15" s="19" t="s">
        <v>347</v>
      </c>
      <c r="C15" s="318"/>
      <c r="D15" s="318"/>
      <c r="E15" s="318"/>
      <c r="F15" s="318"/>
      <c r="G15" s="318"/>
    </row>
    <row r="16" spans="1:9" ht="63.75">
      <c r="A16" s="318"/>
      <c r="B16" s="5" t="s">
        <v>0</v>
      </c>
      <c r="C16" s="319" t="s">
        <v>509</v>
      </c>
      <c r="D16" s="601" t="s">
        <v>54</v>
      </c>
      <c r="E16" s="602" t="s">
        <v>108</v>
      </c>
      <c r="F16" s="603" t="s">
        <v>55</v>
      </c>
      <c r="G16" s="318"/>
      <c r="I16" s="11"/>
    </row>
    <row r="17" spans="1:18">
      <c r="A17" s="318"/>
      <c r="B17" s="320" t="s">
        <v>100</v>
      </c>
      <c r="C17" s="466">
        <f t="array" ref="C17:C19">'Scope 1 Transport by distance '!C14:C16</f>
        <v>7.5406000762376975</v>
      </c>
      <c r="D17" s="467">
        <f>C17/100</f>
        <v>7.5406000762376968E-2</v>
      </c>
      <c r="E17" s="466">
        <f>'Scope 1 Transport fuels'!E9</f>
        <v>2.3422662561338248</v>
      </c>
      <c r="F17" s="468">
        <f>D17*E17</f>
        <v>0.17662093109571703</v>
      </c>
      <c r="G17" s="318"/>
      <c r="I17" s="14"/>
    </row>
    <row r="18" spans="1:18">
      <c r="A18" s="318"/>
      <c r="B18" s="321" t="s">
        <v>101</v>
      </c>
      <c r="C18" s="466">
        <v>9.8015963314361265</v>
      </c>
      <c r="D18" s="465">
        <f>C18/100</f>
        <v>9.8015963314361271E-2</v>
      </c>
      <c r="E18" s="466">
        <f>E17</f>
        <v>2.3422662561338248</v>
      </c>
      <c r="F18" s="468">
        <f>D18*E18</f>
        <v>0.22957948343367929</v>
      </c>
      <c r="G18" s="318"/>
      <c r="I18"/>
    </row>
    <row r="19" spans="1:18">
      <c r="A19" s="318"/>
      <c r="B19" s="320" t="s">
        <v>102</v>
      </c>
      <c r="C19" s="466">
        <v>12.855716927463327</v>
      </c>
      <c r="D19" s="465">
        <f>C19/100</f>
        <v>0.12855716927463326</v>
      </c>
      <c r="E19" s="466">
        <f>E17</f>
        <v>2.3422662561338248</v>
      </c>
      <c r="F19" s="468">
        <f>D19*E19</f>
        <v>0.30111511957605763</v>
      </c>
      <c r="G19" s="318"/>
      <c r="I19" s="13"/>
    </row>
    <row r="20" spans="1:18" ht="13.5" thickBot="1">
      <c r="A20" s="318"/>
      <c r="B20" s="322" t="s">
        <v>338</v>
      </c>
      <c r="C20" s="469">
        <f>C19</f>
        <v>12.855716927463327</v>
      </c>
      <c r="D20" s="470">
        <f>C20/100</f>
        <v>0.12855716927463326</v>
      </c>
      <c r="E20" s="469">
        <f>E17</f>
        <v>2.3422662561338248</v>
      </c>
      <c r="F20" s="471">
        <f>D20*E20</f>
        <v>0.30111511957605763</v>
      </c>
      <c r="G20" s="318"/>
      <c r="I20" s="9"/>
    </row>
    <row r="21" spans="1:18">
      <c r="A21" s="318"/>
      <c r="B21" s="318"/>
      <c r="C21" s="318"/>
      <c r="D21" s="318"/>
      <c r="E21" s="318"/>
      <c r="F21" s="318"/>
      <c r="G21" s="318"/>
      <c r="I21" s="9"/>
    </row>
    <row r="22" spans="1:18" ht="13.5" thickBot="1">
      <c r="A22" s="318"/>
      <c r="B22" s="318"/>
      <c r="C22" s="318"/>
      <c r="D22" s="318"/>
      <c r="E22" s="318"/>
      <c r="F22" s="318"/>
      <c r="G22" s="318"/>
      <c r="I22" s="9"/>
      <c r="J22" s="9"/>
      <c r="K22" s="9"/>
      <c r="L22" s="9"/>
      <c r="M22" s="9"/>
      <c r="N22" s="9"/>
      <c r="O22" s="9"/>
      <c r="P22" s="9"/>
      <c r="Q22" s="9"/>
      <c r="R22" s="9"/>
    </row>
    <row r="23" spans="1:18" ht="15">
      <c r="A23" s="318"/>
      <c r="B23" s="472" t="s">
        <v>103</v>
      </c>
      <c r="C23" s="473"/>
      <c r="D23" s="473"/>
      <c r="E23" s="323"/>
      <c r="F23" s="324"/>
      <c r="G23" s="318"/>
      <c r="I23" s="186"/>
      <c r="J23" s="9"/>
      <c r="K23" s="9"/>
      <c r="L23" s="9"/>
      <c r="M23" s="9"/>
      <c r="N23" s="9"/>
      <c r="O23" s="9"/>
      <c r="P23" s="9"/>
      <c r="Q23" s="9"/>
      <c r="R23" s="9"/>
    </row>
    <row r="24" spans="1:18" ht="15">
      <c r="A24" s="318"/>
      <c r="B24" s="474"/>
      <c r="C24" s="475"/>
      <c r="D24" s="475"/>
      <c r="E24" s="326"/>
      <c r="F24" s="327"/>
      <c r="G24" s="318"/>
      <c r="I24" s="187"/>
      <c r="J24" s="9"/>
      <c r="K24" s="9"/>
      <c r="L24" s="9"/>
      <c r="M24" s="9"/>
      <c r="N24" s="9"/>
      <c r="O24" s="9"/>
      <c r="P24" s="9"/>
      <c r="Q24" s="9"/>
      <c r="R24" s="9"/>
    </row>
    <row r="25" spans="1:18" ht="26.25">
      <c r="A25" s="318"/>
      <c r="B25" s="476" t="s">
        <v>430</v>
      </c>
      <c r="C25" s="475">
        <v>2.8</v>
      </c>
      <c r="D25" s="475"/>
      <c r="E25" s="326"/>
      <c r="F25" s="327"/>
      <c r="G25" s="318"/>
      <c r="I25" s="175"/>
      <c r="J25" s="9"/>
      <c r="K25" s="9"/>
      <c r="L25" s="9"/>
      <c r="M25" s="9"/>
      <c r="N25" s="9"/>
      <c r="O25" s="9"/>
      <c r="P25" s="9"/>
      <c r="Q25" s="9"/>
      <c r="R25" s="9"/>
    </row>
    <row r="26" spans="1:18" ht="15">
      <c r="A26" s="318"/>
      <c r="B26" s="474"/>
      <c r="C26" s="475"/>
      <c r="D26" s="475"/>
      <c r="E26" s="326"/>
      <c r="F26" s="327"/>
      <c r="G26" s="318"/>
      <c r="I26" s="175"/>
      <c r="J26" s="9"/>
      <c r="K26" s="9"/>
      <c r="L26" s="9"/>
      <c r="M26" s="9"/>
      <c r="N26" s="9"/>
      <c r="O26" s="9"/>
      <c r="P26" s="9"/>
      <c r="Q26" s="9"/>
      <c r="R26" s="9"/>
    </row>
    <row r="27" spans="1:18" ht="16.5" thickBot="1">
      <c r="A27" s="318"/>
      <c r="B27" s="477" t="s">
        <v>116</v>
      </c>
      <c r="C27" s="478">
        <f>F20/C25</f>
        <v>0.10754111413430631</v>
      </c>
      <c r="D27" s="479" t="s">
        <v>412</v>
      </c>
      <c r="E27" s="328"/>
      <c r="F27" s="329"/>
      <c r="G27" s="318"/>
      <c r="I27" s="9"/>
      <c r="J27" s="9"/>
      <c r="K27" s="9"/>
      <c r="L27" s="9"/>
      <c r="M27" s="9"/>
      <c r="N27" s="9"/>
      <c r="O27" s="9"/>
      <c r="P27" s="9"/>
      <c r="Q27" s="9"/>
      <c r="R27" s="9"/>
    </row>
    <row r="28" spans="1:18">
      <c r="A28" s="318"/>
      <c r="B28" s="318"/>
      <c r="C28" s="318"/>
      <c r="D28" s="318"/>
      <c r="E28" s="318"/>
      <c r="F28" s="318"/>
      <c r="G28" s="318"/>
      <c r="I28" s="9"/>
      <c r="J28" s="9"/>
      <c r="K28" s="9"/>
      <c r="L28" s="9"/>
      <c r="M28" s="9"/>
      <c r="N28" s="9"/>
      <c r="O28" s="9"/>
      <c r="P28" s="9"/>
      <c r="Q28" s="9"/>
      <c r="R28" s="9"/>
    </row>
    <row r="29" spans="1:18">
      <c r="A29" s="318"/>
      <c r="B29" s="318"/>
      <c r="C29" s="318"/>
      <c r="D29" s="318"/>
      <c r="E29" s="318"/>
      <c r="F29" s="318"/>
      <c r="G29" s="318"/>
      <c r="I29" s="172"/>
      <c r="J29" s="9"/>
      <c r="K29" s="9"/>
      <c r="L29" s="9"/>
      <c r="M29" s="9"/>
      <c r="N29" s="9"/>
      <c r="O29" s="9"/>
      <c r="P29" s="9"/>
      <c r="Q29" s="9"/>
      <c r="R29" s="9"/>
    </row>
    <row r="30" spans="1:18">
      <c r="A30" s="318"/>
      <c r="B30" s="318"/>
      <c r="C30" s="318"/>
      <c r="D30" s="318"/>
      <c r="E30" s="318"/>
      <c r="F30" s="318"/>
      <c r="G30" s="318"/>
      <c r="I30" s="173"/>
      <c r="J30" s="9"/>
      <c r="K30" s="9"/>
      <c r="L30" s="9"/>
      <c r="M30" s="9"/>
      <c r="N30" s="9"/>
      <c r="O30" s="9"/>
      <c r="P30" s="9"/>
      <c r="Q30" s="9"/>
      <c r="R30" s="9"/>
    </row>
    <row r="33" spans="2:5">
      <c r="B33" s="48" t="s">
        <v>453</v>
      </c>
      <c r="C33"/>
      <c r="D33"/>
      <c r="E33"/>
    </row>
    <row r="34" spans="2:5" ht="14.25">
      <c r="B34" s="710" t="s">
        <v>457</v>
      </c>
      <c r="C34" s="423" t="s">
        <v>478</v>
      </c>
      <c r="D34" s="423" t="s">
        <v>479</v>
      </c>
      <c r="E34" s="424" t="s">
        <v>480</v>
      </c>
    </row>
    <row r="35" spans="2:5">
      <c r="B35" s="373" t="s">
        <v>455</v>
      </c>
      <c r="C35" s="560">
        <v>1</v>
      </c>
      <c r="D35" s="561">
        <v>21</v>
      </c>
      <c r="E35" s="562">
        <v>310</v>
      </c>
    </row>
    <row r="36" spans="2:5">
      <c r="B36" s="50" t="s">
        <v>456</v>
      </c>
      <c r="C36" s="563">
        <v>1</v>
      </c>
      <c r="D36" s="563">
        <v>25</v>
      </c>
      <c r="E36" s="563">
        <v>298</v>
      </c>
    </row>
    <row r="37" spans="2:5">
      <c r="B37" s="50" t="s">
        <v>454</v>
      </c>
      <c r="C37" s="564" t="s">
        <v>212</v>
      </c>
      <c r="D37" s="565">
        <f>D36/D35</f>
        <v>1.1904761904761905</v>
      </c>
      <c r="E37" s="566">
        <f>E36/E35</f>
        <v>0.96129032258064517</v>
      </c>
    </row>
    <row r="38" spans="2:5">
      <c r="B38" s="129" t="s">
        <v>485</v>
      </c>
      <c r="C38"/>
      <c r="D38"/>
      <c r="E38"/>
    </row>
    <row r="39" spans="2:5">
      <c r="B39" s="15" t="s">
        <v>487</v>
      </c>
      <c r="C39"/>
      <c r="D39"/>
      <c r="E39"/>
    </row>
    <row r="40" spans="2:5">
      <c r="B40" s="47" t="s">
        <v>458</v>
      </c>
    </row>
    <row r="42" spans="2:5">
      <c r="B42" s="37"/>
    </row>
    <row r="43" spans="2:5">
      <c r="B43" s="437"/>
    </row>
    <row r="44" spans="2:5">
      <c r="B44" s="19" t="s">
        <v>431</v>
      </c>
      <c r="D44" s="188"/>
    </row>
    <row r="45" spans="2:5">
      <c r="B45" s="434" t="s">
        <v>481</v>
      </c>
    </row>
    <row r="46" spans="2:5" ht="44.25">
      <c r="B46" s="330" t="s">
        <v>0</v>
      </c>
      <c r="C46" s="606" t="s">
        <v>2</v>
      </c>
      <c r="D46" s="210" t="s">
        <v>104</v>
      </c>
    </row>
    <row r="47" spans="2:5">
      <c r="B47" s="200" t="s">
        <v>100</v>
      </c>
      <c r="C47" s="600" t="s">
        <v>61</v>
      </c>
      <c r="D47" s="465">
        <f>F58</f>
        <v>0.17677170298010156</v>
      </c>
    </row>
    <row r="48" spans="2:5">
      <c r="B48" s="200" t="s">
        <v>101</v>
      </c>
      <c r="C48" s="600" t="s">
        <v>61</v>
      </c>
      <c r="D48" s="465">
        <f>F59</f>
        <v>0.22977546321432354</v>
      </c>
    </row>
    <row r="49" spans="2:6">
      <c r="B49" s="200" t="s">
        <v>102</v>
      </c>
      <c r="C49" s="600" t="s">
        <v>61</v>
      </c>
      <c r="D49" s="465">
        <f>F60</f>
        <v>0.30137216552023594</v>
      </c>
    </row>
    <row r="50" spans="2:6">
      <c r="B50" s="200" t="s">
        <v>348</v>
      </c>
      <c r="C50" s="600" t="s">
        <v>61</v>
      </c>
      <c r="D50" s="465">
        <f>F59</f>
        <v>0.22977546321432354</v>
      </c>
    </row>
    <row r="51" spans="2:6">
      <c r="B51" s="200" t="s">
        <v>105</v>
      </c>
      <c r="C51" s="600" t="s">
        <v>61</v>
      </c>
      <c r="D51" s="465">
        <f>F61</f>
        <v>0.30137216552023594</v>
      </c>
    </row>
    <row r="52" spans="2:6">
      <c r="B52" s="212" t="s">
        <v>106</v>
      </c>
      <c r="C52" s="600" t="s">
        <v>107</v>
      </c>
      <c r="D52" s="465">
        <f>C68</f>
        <v>0.10763291625722712</v>
      </c>
    </row>
    <row r="53" spans="2:6">
      <c r="B53" s="604" t="s">
        <v>349</v>
      </c>
      <c r="C53" s="604"/>
      <c r="D53" s="604"/>
    </row>
    <row r="56" spans="2:6" ht="13.5" thickBot="1">
      <c r="B56" s="19" t="s">
        <v>347</v>
      </c>
      <c r="C56" s="318"/>
      <c r="D56" s="318"/>
      <c r="E56" s="318"/>
      <c r="F56" s="318"/>
    </row>
    <row r="57" spans="2:6" ht="63.75">
      <c r="B57" s="5" t="s">
        <v>0</v>
      </c>
      <c r="C57" s="319" t="s">
        <v>509</v>
      </c>
      <c r="D57" s="34" t="s">
        <v>54</v>
      </c>
      <c r="E57" s="319" t="s">
        <v>108</v>
      </c>
      <c r="F57" s="35" t="s">
        <v>55</v>
      </c>
    </row>
    <row r="58" spans="2:6">
      <c r="B58" s="320" t="s">
        <v>100</v>
      </c>
      <c r="C58" s="480">
        <v>7.5406000762376975</v>
      </c>
      <c r="D58" s="467">
        <f>C58/100</f>
        <v>7.5406000762376968E-2</v>
      </c>
      <c r="E58" s="466">
        <f>'Scope 1 Transport fuels'!E53</f>
        <v>2.3442657241186029</v>
      </c>
      <c r="F58" s="468">
        <f>D58*E58</f>
        <v>0.17677170298010156</v>
      </c>
    </row>
    <row r="59" spans="2:6">
      <c r="B59" s="321" t="s">
        <v>101</v>
      </c>
      <c r="C59" s="481">
        <v>9.8015963314361265</v>
      </c>
      <c r="D59" s="465">
        <f>C59/100</f>
        <v>9.8015963314361271E-2</v>
      </c>
      <c r="E59" s="466">
        <f>E58</f>
        <v>2.3442657241186029</v>
      </c>
      <c r="F59" s="468">
        <f>D59*E59</f>
        <v>0.22977546321432354</v>
      </c>
    </row>
    <row r="60" spans="2:6">
      <c r="B60" s="320" t="s">
        <v>102</v>
      </c>
      <c r="C60" s="482">
        <v>12.855716927463327</v>
      </c>
      <c r="D60" s="465">
        <f>C60/100</f>
        <v>0.12855716927463326</v>
      </c>
      <c r="E60" s="466">
        <f>E58</f>
        <v>2.3442657241186029</v>
      </c>
      <c r="F60" s="468">
        <f>D60*E60</f>
        <v>0.30137216552023594</v>
      </c>
    </row>
    <row r="61" spans="2:6" ht="13.5" thickBot="1">
      <c r="B61" s="322" t="s">
        <v>338</v>
      </c>
      <c r="C61" s="483">
        <v>12.855716927463327</v>
      </c>
      <c r="D61" s="470">
        <f>C61/100</f>
        <v>0.12855716927463326</v>
      </c>
      <c r="E61" s="469">
        <f>E58</f>
        <v>2.3442657241186029</v>
      </c>
      <c r="F61" s="471">
        <f>D61*E61</f>
        <v>0.30137216552023594</v>
      </c>
    </row>
    <row r="62" spans="2:6">
      <c r="B62" s="318"/>
      <c r="C62" s="318"/>
      <c r="D62" s="318"/>
      <c r="E62" s="318"/>
      <c r="F62" s="318"/>
    </row>
    <row r="63" spans="2:6" ht="13.5" thickBot="1">
      <c r="B63" s="318"/>
      <c r="C63" s="318"/>
      <c r="D63" s="318"/>
      <c r="E63" s="318"/>
      <c r="F63" s="318"/>
    </row>
    <row r="64" spans="2:6">
      <c r="B64" s="36" t="s">
        <v>103</v>
      </c>
      <c r="C64" s="323"/>
      <c r="D64" s="323"/>
      <c r="E64" s="323"/>
      <c r="F64" s="324"/>
    </row>
    <row r="65" spans="2:6">
      <c r="B65" s="325"/>
      <c r="C65" s="326"/>
      <c r="D65" s="326"/>
      <c r="E65" s="326"/>
      <c r="F65" s="327"/>
    </row>
    <row r="66" spans="2:6" ht="25.5">
      <c r="B66" s="476" t="s">
        <v>430</v>
      </c>
      <c r="C66" s="475">
        <v>2.8</v>
      </c>
      <c r="D66" s="326"/>
      <c r="E66" s="326"/>
      <c r="F66" s="327"/>
    </row>
    <row r="67" spans="2:6">
      <c r="B67" s="474"/>
      <c r="C67" s="475"/>
      <c r="D67" s="326"/>
      <c r="E67" s="326"/>
      <c r="F67" s="327"/>
    </row>
    <row r="68" spans="2:6" ht="16.5" thickBot="1">
      <c r="B68" s="477" t="s">
        <v>116</v>
      </c>
      <c r="C68" s="478">
        <f>F61/C66</f>
        <v>0.10763291625722712</v>
      </c>
      <c r="D68" s="328" t="s">
        <v>412</v>
      </c>
      <c r="E68" s="328"/>
      <c r="F68" s="329"/>
    </row>
  </sheetData>
  <hyperlinks>
    <hyperlink ref="B39" r:id="rId1"/>
  </hyperlinks>
  <pageMargins left="0.74803149606299213" right="0.74803149606299213" top="0.98425196850393704" bottom="0.98425196850393704" header="0.51181102362204722" footer="0.51181102362204722"/>
  <pageSetup paperSize="8" orientation="landscape" r:id="rId2"/>
  <headerFooter alignWithMargins="0"/>
  <drawing r:id="rId3"/>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2">
    <pageSetUpPr fitToPage="1"/>
  </sheetPr>
  <dimension ref="A1:Y91"/>
  <sheetViews>
    <sheetView topLeftCell="A58" zoomScale="90" zoomScaleNormal="90" workbookViewId="0">
      <selection activeCell="L76" sqref="L76"/>
    </sheetView>
  </sheetViews>
  <sheetFormatPr defaultRowHeight="12.75"/>
  <cols>
    <col min="1" max="1" width="10.140625" bestFit="1" customWidth="1"/>
    <col min="2" max="3" width="36.28515625" customWidth="1"/>
    <col min="5" max="5" width="18.7109375" customWidth="1"/>
    <col min="6" max="7" width="14.7109375" customWidth="1"/>
    <col min="8" max="8" width="17.140625" customWidth="1"/>
    <col min="10" max="10" width="10.5703125" bestFit="1" customWidth="1"/>
    <col min="11" max="12" width="23.42578125" customWidth="1"/>
    <col min="13" max="13" width="13.85546875" customWidth="1"/>
  </cols>
  <sheetData>
    <row r="1" spans="1:20">
      <c r="B1" s="435" t="s">
        <v>278</v>
      </c>
      <c r="C1" s="46"/>
      <c r="D1" s="46"/>
      <c r="E1" s="46"/>
      <c r="F1" s="46"/>
      <c r="G1" s="46"/>
      <c r="H1" s="46"/>
      <c r="I1" s="46"/>
    </row>
    <row r="2" spans="1:20">
      <c r="A2" s="157"/>
      <c r="B2" s="157"/>
      <c r="C2" s="157"/>
      <c r="D2" s="157"/>
      <c r="E2" s="331"/>
      <c r="F2" s="46"/>
      <c r="G2" s="46"/>
      <c r="H2" s="46"/>
      <c r="I2" s="46"/>
    </row>
    <row r="3" spans="1:20" ht="13.5" thickBot="1">
      <c r="A3" s="46"/>
      <c r="B3" s="48" t="s">
        <v>359</v>
      </c>
      <c r="C3" s="48"/>
      <c r="D3" s="46"/>
      <c r="E3" s="46"/>
      <c r="F3" s="46"/>
      <c r="G3" s="46"/>
      <c r="H3" s="46"/>
      <c r="I3" s="46"/>
    </row>
    <row r="4" spans="1:20" ht="32.25" customHeight="1">
      <c r="A4" s="46"/>
      <c r="B4" s="781" t="s">
        <v>0</v>
      </c>
      <c r="C4" s="233"/>
      <c r="D4" s="783" t="s">
        <v>2</v>
      </c>
      <c r="E4" s="189" t="s">
        <v>341</v>
      </c>
      <c r="F4" s="46"/>
      <c r="G4" s="46"/>
      <c r="H4" s="46"/>
      <c r="I4" s="46"/>
      <c r="S4" s="96"/>
      <c r="T4" s="96"/>
    </row>
    <row r="5" spans="1:20" ht="18.75" customHeight="1" thickBot="1">
      <c r="A5" s="46"/>
      <c r="B5" s="782"/>
      <c r="C5" s="332" t="s">
        <v>404</v>
      </c>
      <c r="D5" s="784"/>
      <c r="E5" s="190" t="s">
        <v>342</v>
      </c>
      <c r="F5" s="46"/>
      <c r="G5" s="46"/>
      <c r="H5" s="46"/>
      <c r="I5" s="46"/>
      <c r="S5" s="96"/>
      <c r="T5" s="96"/>
    </row>
    <row r="6" spans="1:20" ht="13.5" thickBot="1">
      <c r="A6" s="46"/>
      <c r="B6" s="191" t="s">
        <v>76</v>
      </c>
      <c r="C6" s="333" t="s">
        <v>399</v>
      </c>
      <c r="D6" s="739" t="s">
        <v>77</v>
      </c>
      <c r="E6" s="463">
        <f>E20</f>
        <v>0.15995999999999999</v>
      </c>
      <c r="F6" s="46"/>
      <c r="G6" s="46"/>
      <c r="H6" s="46"/>
      <c r="I6" s="46"/>
      <c r="S6" s="96"/>
      <c r="T6" s="96"/>
    </row>
    <row r="7" spans="1:20" ht="13.5" thickBot="1">
      <c r="A7" s="46"/>
      <c r="B7" s="191" t="s">
        <v>78</v>
      </c>
      <c r="C7" s="333" t="s">
        <v>399</v>
      </c>
      <c r="D7" s="739" t="s">
        <v>77</v>
      </c>
      <c r="E7" s="464">
        <f t="shared" ref="E7:E14" si="0">E21</f>
        <v>9.4229999999999994E-2</v>
      </c>
      <c r="F7" s="46"/>
      <c r="G7" s="46"/>
      <c r="H7" s="46"/>
      <c r="I7" s="46"/>
      <c r="S7" s="96"/>
      <c r="T7" s="96"/>
    </row>
    <row r="8" spans="1:20" ht="13.5" thickBot="1">
      <c r="A8" s="46"/>
      <c r="B8" s="191"/>
      <c r="C8" s="333" t="s">
        <v>400</v>
      </c>
      <c r="D8" s="739" t="s">
        <v>77</v>
      </c>
      <c r="E8" s="464">
        <f t="shared" si="0"/>
        <v>8.9799999999999991E-2</v>
      </c>
      <c r="F8" s="46"/>
      <c r="G8" s="46"/>
      <c r="H8" s="46"/>
      <c r="I8" s="46"/>
      <c r="S8" s="96"/>
      <c r="T8" s="96"/>
    </row>
    <row r="9" spans="1:20" ht="13.5" thickBot="1">
      <c r="A9" s="46"/>
      <c r="B9" s="191"/>
      <c r="C9" s="333" t="s">
        <v>401</v>
      </c>
      <c r="D9" s="739" t="s">
        <v>77</v>
      </c>
      <c r="E9" s="463">
        <f t="shared" si="0"/>
        <v>0.13468999999999998</v>
      </c>
      <c r="F9" s="46"/>
      <c r="G9" s="46"/>
      <c r="H9" s="46"/>
      <c r="I9" s="46"/>
      <c r="S9" s="96"/>
      <c r="T9" s="96"/>
    </row>
    <row r="10" spans="1:20" ht="13.5" thickBot="1">
      <c r="A10" s="46"/>
      <c r="B10" s="191" t="s">
        <v>79</v>
      </c>
      <c r="C10" s="333" t="s">
        <v>399</v>
      </c>
      <c r="D10" s="739" t="s">
        <v>77</v>
      </c>
      <c r="E10" s="463">
        <f t="shared" si="0"/>
        <v>0.11090999999999999</v>
      </c>
      <c r="F10" s="46"/>
      <c r="G10" s="46"/>
      <c r="H10" s="46"/>
      <c r="I10" s="46"/>
      <c r="P10" s="15"/>
      <c r="S10" s="96"/>
      <c r="T10" s="96"/>
    </row>
    <row r="11" spans="1:20" ht="13.5" thickBot="1">
      <c r="A11" s="46"/>
      <c r="B11" s="191"/>
      <c r="C11" s="333" t="s">
        <v>400</v>
      </c>
      <c r="D11" s="739" t="s">
        <v>77</v>
      </c>
      <c r="E11" s="464">
        <f>E25</f>
        <v>8.095999999999999E-2</v>
      </c>
      <c r="F11" s="46"/>
      <c r="G11" s="46"/>
      <c r="H11" s="46"/>
      <c r="I11" s="46"/>
      <c r="S11" s="96"/>
      <c r="T11" s="96"/>
    </row>
    <row r="12" spans="1:20" ht="13.5" thickBot="1">
      <c r="A12" s="46"/>
      <c r="B12" s="191"/>
      <c r="C12" s="333" t="s">
        <v>402</v>
      </c>
      <c r="D12" s="739" t="s">
        <v>77</v>
      </c>
      <c r="E12" s="463">
        <f t="shared" si="0"/>
        <v>0.12953999999999999</v>
      </c>
      <c r="F12" s="46"/>
      <c r="G12" s="46"/>
      <c r="H12" s="46"/>
      <c r="I12" s="46"/>
      <c r="S12" s="96"/>
      <c r="T12" s="96"/>
    </row>
    <row r="13" spans="1:20" ht="13.5" thickBot="1">
      <c r="A13" s="46"/>
      <c r="B13" s="191"/>
      <c r="C13" s="333" t="s">
        <v>401</v>
      </c>
      <c r="D13" s="739" t="s">
        <v>77</v>
      </c>
      <c r="E13" s="463">
        <f t="shared" si="0"/>
        <v>0.23479999999999995</v>
      </c>
      <c r="F13" s="46"/>
      <c r="G13" s="46"/>
      <c r="H13" s="46"/>
      <c r="I13" s="46"/>
      <c r="S13" s="96"/>
      <c r="T13" s="96"/>
    </row>
    <row r="14" spans="1:20" ht="13.5" thickBot="1">
      <c r="A14" s="46"/>
      <c r="B14" s="191"/>
      <c r="C14" s="333" t="s">
        <v>403</v>
      </c>
      <c r="D14" s="739" t="s">
        <v>77</v>
      </c>
      <c r="E14" s="463">
        <f t="shared" si="0"/>
        <v>0.32385999999999998</v>
      </c>
      <c r="F14" s="46"/>
      <c r="G14" s="46"/>
      <c r="H14" s="46"/>
      <c r="I14" s="46"/>
      <c r="S14" s="96"/>
      <c r="T14" s="96"/>
    </row>
    <row r="15" spans="1:20">
      <c r="A15" s="46"/>
      <c r="B15" s="46"/>
      <c r="C15" s="46"/>
      <c r="D15" s="46"/>
      <c r="E15" s="331"/>
      <c r="F15" s="46"/>
      <c r="G15" s="46"/>
      <c r="H15" s="46"/>
      <c r="I15" s="46"/>
      <c r="S15" s="96"/>
      <c r="T15" s="96"/>
    </row>
    <row r="16" spans="1:20" ht="13.5" thickBot="1">
      <c r="A16" s="46"/>
      <c r="G16" s="48"/>
      <c r="I16" s="46"/>
      <c r="S16" s="232"/>
      <c r="T16" s="232"/>
    </row>
    <row r="17" spans="1:20" ht="29.25" customHeight="1" thickTop="1" thickBot="1">
      <c r="A17" s="46"/>
      <c r="E17" s="785" t="s">
        <v>452</v>
      </c>
      <c r="F17" s="786"/>
      <c r="G17" s="786"/>
      <c r="H17" s="787"/>
      <c r="I17" s="46"/>
      <c r="K17" s="96"/>
      <c r="L17" s="96"/>
      <c r="M17" s="96"/>
      <c r="N17" s="96"/>
      <c r="O17" s="96"/>
      <c r="P17" s="96"/>
      <c r="Q17" s="96"/>
      <c r="R17" s="96"/>
      <c r="S17" s="96"/>
      <c r="T17" s="96"/>
    </row>
    <row r="18" spans="1:20" ht="27" customHeight="1">
      <c r="A18" s="46"/>
      <c r="B18" s="233" t="s">
        <v>0</v>
      </c>
      <c r="C18" s="233"/>
      <c r="D18" s="740" t="s">
        <v>2</v>
      </c>
      <c r="E18" s="189" t="s">
        <v>341</v>
      </c>
      <c r="F18" s="788" t="s">
        <v>80</v>
      </c>
      <c r="G18" s="788" t="s">
        <v>343</v>
      </c>
      <c r="H18" s="788" t="s">
        <v>344</v>
      </c>
      <c r="I18" s="46"/>
      <c r="J18" s="369"/>
    </row>
    <row r="19" spans="1:20" ht="15" thickBot="1">
      <c r="A19" s="46"/>
      <c r="B19" s="426"/>
      <c r="C19" s="426" t="s">
        <v>404</v>
      </c>
      <c r="D19" s="741"/>
      <c r="E19" s="370" t="s">
        <v>342</v>
      </c>
      <c r="F19" s="789"/>
      <c r="G19" s="789"/>
      <c r="H19" s="789"/>
      <c r="I19" s="46"/>
      <c r="J19" s="369"/>
    </row>
    <row r="20" spans="1:20" ht="13.5" thickBot="1">
      <c r="A20" s="46"/>
      <c r="B20" s="368" t="s">
        <v>76</v>
      </c>
      <c r="C20" s="438" t="s">
        <v>399</v>
      </c>
      <c r="D20" s="742" t="s">
        <v>77</v>
      </c>
      <c r="E20" s="458">
        <v>0.15995999999999999</v>
      </c>
      <c r="F20" s="459">
        <v>0.15828999999999999</v>
      </c>
      <c r="G20" s="460">
        <v>1.0999999999999999E-4</v>
      </c>
      <c r="H20" s="459">
        <v>1.56E-3</v>
      </c>
      <c r="I20" s="46"/>
      <c r="J20" s="369"/>
    </row>
    <row r="21" spans="1:20" ht="13.5" thickBot="1">
      <c r="A21" s="46"/>
      <c r="B21" s="191" t="s">
        <v>78</v>
      </c>
      <c r="C21" s="438" t="s">
        <v>399</v>
      </c>
      <c r="D21" s="742" t="s">
        <v>77</v>
      </c>
      <c r="E21" s="460">
        <v>9.4229999999999994E-2</v>
      </c>
      <c r="F21" s="459">
        <v>9.3299999999999994E-2</v>
      </c>
      <c r="G21" s="459">
        <v>9.9999999999999991E-6</v>
      </c>
      <c r="H21" s="459">
        <v>9.2000000000000003E-4</v>
      </c>
      <c r="I21" s="46"/>
      <c r="J21" s="369"/>
    </row>
    <row r="22" spans="1:20" ht="13.5" thickBot="1">
      <c r="A22" s="46"/>
      <c r="B22" s="191"/>
      <c r="C22" s="438" t="s">
        <v>400</v>
      </c>
      <c r="D22" s="742" t="s">
        <v>77</v>
      </c>
      <c r="E22" s="460">
        <v>8.9799999999999991E-2</v>
      </c>
      <c r="F22" s="459">
        <v>8.8910000000000003E-2</v>
      </c>
      <c r="G22" s="459">
        <v>9.9999999999999991E-6</v>
      </c>
      <c r="H22" s="459">
        <v>8.7999999999999992E-4</v>
      </c>
      <c r="I22" s="46"/>
      <c r="J22" s="369"/>
      <c r="K22" s="46"/>
    </row>
    <row r="23" spans="1:20" ht="13.5" thickBot="1">
      <c r="A23" s="46"/>
      <c r="B23" s="191"/>
      <c r="C23" s="438" t="s">
        <v>401</v>
      </c>
      <c r="D23" s="742" t="s">
        <v>77</v>
      </c>
      <c r="E23" s="461">
        <v>0.13468999999999998</v>
      </c>
      <c r="F23" s="459">
        <v>0.13336999999999999</v>
      </c>
      <c r="G23" s="459">
        <v>1.0000000000000001E-5</v>
      </c>
      <c r="H23" s="459">
        <v>1.3099999999999997E-3</v>
      </c>
      <c r="I23" s="46"/>
      <c r="J23" s="369"/>
    </row>
    <row r="24" spans="1:20" ht="13.5" thickBot="1">
      <c r="A24" s="46"/>
      <c r="B24" s="191" t="s">
        <v>79</v>
      </c>
      <c r="C24" s="438" t="s">
        <v>399</v>
      </c>
      <c r="D24" s="742" t="s">
        <v>77</v>
      </c>
      <c r="E24" s="461">
        <v>0.11090999999999999</v>
      </c>
      <c r="F24" s="459">
        <v>0.10982</v>
      </c>
      <c r="G24" s="459">
        <v>9.9999999999999991E-6</v>
      </c>
      <c r="H24" s="459">
        <v>1.0799999999999998E-3</v>
      </c>
      <c r="I24" s="46"/>
      <c r="J24" s="369"/>
    </row>
    <row r="25" spans="1:20" ht="13.5" thickBot="1">
      <c r="A25" s="46"/>
      <c r="B25" s="191"/>
      <c r="C25" s="438" t="s">
        <v>400</v>
      </c>
      <c r="D25" s="742" t="s">
        <v>77</v>
      </c>
      <c r="E25" s="460">
        <v>8.095999999999999E-2</v>
      </c>
      <c r="F25" s="459">
        <v>8.0169999999999991E-2</v>
      </c>
      <c r="G25" s="462">
        <v>0</v>
      </c>
      <c r="H25" s="459">
        <v>7.9000000000000001E-4</v>
      </c>
      <c r="I25" s="46"/>
      <c r="J25" s="369"/>
    </row>
    <row r="26" spans="1:20" ht="13.5" thickBot="1">
      <c r="A26" s="46"/>
      <c r="B26" s="191"/>
      <c r="C26" s="438" t="s">
        <v>402</v>
      </c>
      <c r="D26" s="742" t="s">
        <v>77</v>
      </c>
      <c r="E26" s="461">
        <v>0.12953999999999999</v>
      </c>
      <c r="F26" s="459">
        <v>0.12827</v>
      </c>
      <c r="G26" s="459">
        <v>9.9999999999999991E-6</v>
      </c>
      <c r="H26" s="459">
        <v>1.2599999999999998E-3</v>
      </c>
      <c r="I26" s="46"/>
      <c r="J26" s="369"/>
    </row>
    <row r="27" spans="1:20" ht="13.5" thickBot="1">
      <c r="A27" s="46"/>
      <c r="B27" s="191"/>
      <c r="C27" s="438" t="s">
        <v>401</v>
      </c>
      <c r="D27" s="742" t="s">
        <v>77</v>
      </c>
      <c r="E27" s="461">
        <v>0.23479999999999995</v>
      </c>
      <c r="F27" s="459">
        <v>0.23249999999999998</v>
      </c>
      <c r="G27" s="459">
        <v>9.9999999999999991E-6</v>
      </c>
      <c r="H27" s="459">
        <v>2.2899999999999999E-3</v>
      </c>
      <c r="I27" s="46"/>
    </row>
    <row r="28" spans="1:20" ht="13.5" thickBot="1">
      <c r="A28" s="46"/>
      <c r="B28" s="191"/>
      <c r="C28" s="438" t="s">
        <v>403</v>
      </c>
      <c r="D28" s="742" t="s">
        <v>77</v>
      </c>
      <c r="E28" s="461">
        <v>0.32385999999999998</v>
      </c>
      <c r="F28" s="459">
        <v>0.32067999999999997</v>
      </c>
      <c r="G28" s="459">
        <v>1.9999999999999998E-5</v>
      </c>
      <c r="H28" s="459">
        <v>3.16E-3</v>
      </c>
      <c r="I28" s="46"/>
    </row>
    <row r="29" spans="1:20">
      <c r="A29" s="46"/>
      <c r="B29" s="106"/>
      <c r="C29" s="106"/>
      <c r="D29" s="110"/>
      <c r="E29" s="234"/>
      <c r="F29" s="234"/>
      <c r="G29" s="235"/>
      <c r="H29" s="235"/>
      <c r="I29" s="46"/>
    </row>
    <row r="30" spans="1:20">
      <c r="B30" s="106"/>
      <c r="C30" s="106"/>
      <c r="D30" s="110"/>
      <c r="E30" s="234"/>
      <c r="F30" s="234"/>
      <c r="G30" s="235"/>
      <c r="H30" s="235"/>
    </row>
    <row r="31" spans="1:20" ht="12.75" customHeight="1">
      <c r="B31" s="106"/>
      <c r="C31" s="106"/>
      <c r="D31" s="110"/>
      <c r="E31" s="234"/>
      <c r="F31" s="234"/>
      <c r="G31" s="235"/>
      <c r="H31" s="235"/>
    </row>
    <row r="32" spans="1:20" ht="12.75" customHeight="1">
      <c r="B32" s="106"/>
      <c r="C32" s="106"/>
      <c r="D32" s="110"/>
      <c r="E32" s="234"/>
      <c r="F32" s="234"/>
      <c r="G32" s="235"/>
      <c r="H32" s="235"/>
    </row>
    <row r="33" spans="2:25">
      <c r="B33" s="106"/>
      <c r="C33" s="106"/>
      <c r="D33" s="110"/>
      <c r="E33" s="234"/>
      <c r="F33" s="234"/>
      <c r="G33" s="235"/>
      <c r="H33" s="235"/>
    </row>
    <row r="34" spans="2:25">
      <c r="B34" s="106"/>
      <c r="C34" s="106"/>
      <c r="D34" s="110"/>
      <c r="E34" s="234"/>
      <c r="F34" s="234"/>
      <c r="G34" s="235"/>
      <c r="H34" s="235"/>
    </row>
    <row r="35" spans="2:25" ht="12.75" customHeight="1">
      <c r="B35" s="422"/>
      <c r="C35" s="422"/>
      <c r="D35" s="422"/>
      <c r="E35" s="422"/>
      <c r="F35" s="422"/>
      <c r="G35" s="422"/>
      <c r="H35" s="422"/>
      <c r="M35" s="96"/>
      <c r="N35" s="96"/>
    </row>
    <row r="36" spans="2:25" ht="12.75" customHeight="1">
      <c r="B36" s="422"/>
      <c r="C36" s="422"/>
      <c r="D36" s="422"/>
      <c r="E36" s="422"/>
      <c r="F36" s="422"/>
      <c r="G36" s="422"/>
      <c r="H36" s="422"/>
    </row>
    <row r="37" spans="2:25">
      <c r="I37" s="195"/>
      <c r="J37" s="197"/>
      <c r="K37" s="194"/>
      <c r="L37" s="194"/>
      <c r="M37" s="194"/>
      <c r="N37" s="194"/>
      <c r="O37" s="194"/>
      <c r="P37" s="194"/>
      <c r="Q37" s="194"/>
      <c r="R37" s="194"/>
      <c r="S37" s="194"/>
      <c r="T37" s="194"/>
      <c r="U37" s="194"/>
      <c r="V37" s="194"/>
      <c r="W37" s="194"/>
      <c r="X37" s="194"/>
      <c r="Y37" s="86"/>
    </row>
    <row r="38" spans="2:25">
      <c r="I38" s="195"/>
      <c r="J38" s="197"/>
      <c r="K38" s="194"/>
      <c r="L38" s="194"/>
      <c r="M38" s="194"/>
      <c r="N38" s="194"/>
      <c r="O38" s="194"/>
      <c r="P38" s="194"/>
      <c r="Q38" s="194"/>
      <c r="R38" s="194"/>
      <c r="S38" s="194"/>
      <c r="T38" s="194"/>
      <c r="U38" s="194"/>
      <c r="V38" s="194"/>
      <c r="W38" s="194"/>
      <c r="X38" s="194"/>
      <c r="Y38" s="86"/>
    </row>
    <row r="39" spans="2:25">
      <c r="I39" s="195"/>
      <c r="J39" s="195"/>
      <c r="K39" s="195"/>
      <c r="L39" s="195"/>
      <c r="M39" s="195"/>
      <c r="N39" s="195"/>
      <c r="O39" s="195"/>
      <c r="P39" s="195"/>
      <c r="Q39" s="195"/>
      <c r="R39" s="195"/>
      <c r="S39" s="195"/>
      <c r="T39" s="195"/>
      <c r="U39" s="195"/>
      <c r="V39" s="195"/>
      <c r="W39" s="195"/>
      <c r="X39" s="195"/>
      <c r="Y39" s="86"/>
    </row>
    <row r="40" spans="2:25" ht="12.75" customHeight="1">
      <c r="I40" s="96"/>
      <c r="J40" s="96"/>
      <c r="K40" s="196"/>
      <c r="L40" s="196"/>
      <c r="M40" s="196"/>
      <c r="N40" s="196"/>
      <c r="O40" s="196"/>
      <c r="P40" s="196"/>
      <c r="Q40" s="196"/>
      <c r="R40" s="196"/>
      <c r="S40" s="196"/>
      <c r="T40" s="196"/>
      <c r="U40" s="196"/>
      <c r="V40" s="63"/>
      <c r="W40" s="63"/>
      <c r="X40" s="63"/>
      <c r="Y40" s="86"/>
    </row>
    <row r="41" spans="2:25">
      <c r="I41" s="96"/>
      <c r="J41" s="96"/>
      <c r="K41" s="196"/>
      <c r="L41" s="196"/>
      <c r="M41" s="196"/>
      <c r="N41" s="196"/>
      <c r="O41" s="196"/>
      <c r="P41" s="196"/>
      <c r="Q41" s="196"/>
      <c r="R41" s="196"/>
      <c r="S41" s="196"/>
      <c r="T41" s="196"/>
      <c r="U41" s="196"/>
      <c r="V41" s="63"/>
      <c r="W41" s="63"/>
      <c r="X41" s="63"/>
      <c r="Y41" s="86"/>
    </row>
    <row r="42" spans="2:25">
      <c r="I42" s="96"/>
      <c r="J42" s="96"/>
      <c r="K42" s="196"/>
      <c r="L42" s="196"/>
      <c r="M42" s="196"/>
      <c r="N42" s="196"/>
      <c r="O42" s="196"/>
      <c r="P42" s="196"/>
      <c r="Q42" s="196"/>
      <c r="R42" s="196"/>
      <c r="S42" s="196"/>
      <c r="T42" s="196"/>
      <c r="U42" s="196"/>
      <c r="V42" s="63"/>
      <c r="W42" s="63"/>
      <c r="X42" s="63"/>
      <c r="Y42" s="86"/>
    </row>
    <row r="43" spans="2:25">
      <c r="I43" s="96"/>
      <c r="J43" s="96"/>
      <c r="K43" s="196"/>
      <c r="L43" s="196"/>
      <c r="M43" s="196"/>
      <c r="N43" s="196"/>
      <c r="O43" s="196"/>
      <c r="P43" s="196"/>
      <c r="Q43" s="196"/>
      <c r="R43" s="196"/>
      <c r="S43" s="196"/>
      <c r="T43" s="196"/>
      <c r="U43" s="196"/>
      <c r="V43" s="63"/>
      <c r="W43" s="63"/>
      <c r="X43" s="63"/>
      <c r="Y43" s="86"/>
    </row>
    <row r="44" spans="2:25">
      <c r="I44" s="96"/>
      <c r="J44" s="96"/>
      <c r="K44" s="196"/>
      <c r="L44" s="196"/>
      <c r="M44" s="196"/>
      <c r="N44" s="196"/>
      <c r="O44" s="196"/>
      <c r="P44" s="196"/>
      <c r="Q44" s="196"/>
      <c r="R44" s="196"/>
      <c r="S44" s="196"/>
      <c r="T44" s="196"/>
      <c r="U44" s="196"/>
      <c r="V44" s="63"/>
      <c r="W44" s="63"/>
      <c r="X44" s="63"/>
      <c r="Y44" s="86"/>
    </row>
    <row r="45" spans="2:25">
      <c r="K45" s="193"/>
      <c r="L45" s="193"/>
      <c r="M45" s="193"/>
      <c r="N45" s="193"/>
      <c r="O45" s="193"/>
      <c r="P45" s="193"/>
      <c r="Q45" s="193"/>
      <c r="R45" s="193"/>
      <c r="S45" s="193"/>
      <c r="T45" s="193"/>
      <c r="U45" s="193"/>
      <c r="V45" s="86"/>
      <c r="W45" s="86"/>
      <c r="X45" s="86"/>
      <c r="Y45" s="86"/>
    </row>
    <row r="46" spans="2:25">
      <c r="K46" s="192"/>
      <c r="L46" s="192"/>
      <c r="M46" s="192"/>
      <c r="N46" s="192"/>
      <c r="O46" s="192"/>
      <c r="P46" s="192"/>
      <c r="Q46" s="192"/>
      <c r="R46" s="192"/>
      <c r="S46" s="192"/>
      <c r="T46" s="192"/>
      <c r="U46" s="192"/>
      <c r="V46" s="86"/>
      <c r="W46" s="86"/>
      <c r="X46" s="86"/>
      <c r="Y46" s="86"/>
    </row>
    <row r="54" spans="2:5">
      <c r="B54" s="48" t="s">
        <v>453</v>
      </c>
    </row>
    <row r="55" spans="2:5" ht="14.25">
      <c r="B55" s="710" t="s">
        <v>457</v>
      </c>
      <c r="C55" s="423" t="s">
        <v>478</v>
      </c>
      <c r="D55" s="423" t="s">
        <v>479</v>
      </c>
      <c r="E55" s="424" t="s">
        <v>480</v>
      </c>
    </row>
    <row r="56" spans="2:5">
      <c r="B56" s="373" t="s">
        <v>455</v>
      </c>
      <c r="C56" s="560">
        <v>1</v>
      </c>
      <c r="D56" s="561">
        <v>21</v>
      </c>
      <c r="E56" s="562">
        <v>310</v>
      </c>
    </row>
    <row r="57" spans="2:5">
      <c r="B57" s="50" t="s">
        <v>456</v>
      </c>
      <c r="C57" s="563">
        <v>1</v>
      </c>
      <c r="D57" s="563">
        <v>25</v>
      </c>
      <c r="E57" s="563">
        <v>298</v>
      </c>
    </row>
    <row r="58" spans="2:5">
      <c r="B58" s="50" t="s">
        <v>454</v>
      </c>
      <c r="C58" s="564" t="s">
        <v>212</v>
      </c>
      <c r="D58" s="565">
        <f>D57/D56</f>
        <v>1.1904761904761905</v>
      </c>
      <c r="E58" s="566">
        <f>E57/E56</f>
        <v>0.96129032258064517</v>
      </c>
    </row>
    <row r="59" spans="2:5">
      <c r="B59" s="129" t="s">
        <v>485</v>
      </c>
    </row>
    <row r="60" spans="2:5">
      <c r="B60" s="15" t="s">
        <v>487</v>
      </c>
    </row>
    <row r="61" spans="2:5">
      <c r="B61" s="47" t="s">
        <v>458</v>
      </c>
    </row>
    <row r="65" spans="2:8">
      <c r="B65" s="48" t="s">
        <v>359</v>
      </c>
    </row>
    <row r="66" spans="2:8" ht="13.5" thickBot="1">
      <c r="B66" s="434" t="s">
        <v>481</v>
      </c>
      <c r="C66" s="48"/>
      <c r="D66" s="46"/>
      <c r="E66" s="46"/>
      <c r="F66" s="46"/>
      <c r="G66" s="46"/>
      <c r="H66" s="46"/>
    </row>
    <row r="67" spans="2:8" ht="27">
      <c r="B67" s="781" t="s">
        <v>0</v>
      </c>
      <c r="C67" s="233"/>
      <c r="D67" s="783" t="s">
        <v>2</v>
      </c>
      <c r="E67" s="189" t="s">
        <v>341</v>
      </c>
      <c r="F67" s="46"/>
      <c r="G67" s="46"/>
      <c r="H67" s="46"/>
    </row>
    <row r="68" spans="2:8" ht="15" thickBot="1">
      <c r="B68" s="782"/>
      <c r="C68" s="426" t="s">
        <v>404</v>
      </c>
      <c r="D68" s="784"/>
      <c r="E68" s="190" t="s">
        <v>342</v>
      </c>
      <c r="F68" s="46"/>
      <c r="G68" s="46"/>
      <c r="H68" s="46"/>
    </row>
    <row r="69" spans="2:8" ht="13.5" thickBot="1">
      <c r="B69" s="191" t="s">
        <v>76</v>
      </c>
      <c r="C69" s="333" t="s">
        <v>399</v>
      </c>
      <c r="D69" s="739" t="s">
        <v>77</v>
      </c>
      <c r="E69" s="463">
        <f>E83</f>
        <v>0.15992056528417817</v>
      </c>
      <c r="F69" s="46"/>
      <c r="G69" s="46"/>
      <c r="H69" s="46"/>
    </row>
    <row r="70" spans="2:8" ht="13.5" thickBot="1">
      <c r="B70" s="191" t="s">
        <v>78</v>
      </c>
      <c r="C70" s="333" t="s">
        <v>399</v>
      </c>
      <c r="D70" s="739" t="s">
        <v>77</v>
      </c>
      <c r="E70" s="464">
        <f t="shared" ref="E70:E76" si="1">E84</f>
        <v>9.4196291858678963E-2</v>
      </c>
      <c r="F70" s="46"/>
      <c r="G70" s="46"/>
      <c r="H70" s="46"/>
    </row>
    <row r="71" spans="2:8" ht="13.5" thickBot="1">
      <c r="B71" s="191"/>
      <c r="C71" s="333" t="s">
        <v>400</v>
      </c>
      <c r="D71" s="739" t="s">
        <v>77</v>
      </c>
      <c r="E71" s="464">
        <f t="shared" si="1"/>
        <v>8.9767840245775735E-2</v>
      </c>
      <c r="F71" s="46"/>
      <c r="G71" s="46"/>
      <c r="H71" s="46"/>
    </row>
    <row r="72" spans="2:8" ht="13.5" thickBot="1">
      <c r="B72" s="191"/>
      <c r="C72" s="333" t="s">
        <v>401</v>
      </c>
      <c r="D72" s="739" t="s">
        <v>77</v>
      </c>
      <c r="E72" s="463">
        <f t="shared" si="1"/>
        <v>0.13464119508448541</v>
      </c>
      <c r="F72" s="46"/>
      <c r="G72" s="46"/>
      <c r="H72" s="46"/>
    </row>
    <row r="73" spans="2:8" ht="13.5" thickBot="1">
      <c r="B73" s="191" t="s">
        <v>79</v>
      </c>
      <c r="C73" s="333" t="s">
        <v>399</v>
      </c>
      <c r="D73" s="739" t="s">
        <v>77</v>
      </c>
      <c r="E73" s="463">
        <f>E87</f>
        <v>0.11087009831029186</v>
      </c>
      <c r="F73" s="46"/>
      <c r="G73" s="46"/>
      <c r="H73" s="46"/>
    </row>
    <row r="74" spans="2:8" ht="13.5" thickBot="1">
      <c r="B74" s="191"/>
      <c r="C74" s="333" t="s">
        <v>400</v>
      </c>
      <c r="D74" s="739" t="s">
        <v>77</v>
      </c>
      <c r="E74" s="464">
        <f t="shared" si="1"/>
        <v>8.0929419354838703E-2</v>
      </c>
      <c r="F74" s="46"/>
      <c r="G74" s="46"/>
      <c r="H74" s="46"/>
    </row>
    <row r="75" spans="2:8" ht="13.5" thickBot="1">
      <c r="B75" s="191"/>
      <c r="C75" s="333" t="s">
        <v>402</v>
      </c>
      <c r="D75" s="739" t="s">
        <v>77</v>
      </c>
      <c r="E75" s="463">
        <f t="shared" si="1"/>
        <v>0.12949313056835637</v>
      </c>
      <c r="F75" s="46"/>
      <c r="G75" s="46"/>
      <c r="H75" s="46"/>
    </row>
    <row r="76" spans="2:8" ht="13.5" thickBot="1">
      <c r="B76" s="191"/>
      <c r="C76" s="333" t="s">
        <v>401</v>
      </c>
      <c r="D76" s="739" t="s">
        <v>77</v>
      </c>
      <c r="E76" s="463">
        <f t="shared" si="1"/>
        <v>0.23471325960061443</v>
      </c>
      <c r="F76" s="46"/>
      <c r="G76" s="46"/>
      <c r="H76" s="46"/>
    </row>
    <row r="77" spans="2:8" ht="13.5" thickBot="1">
      <c r="B77" s="191"/>
      <c r="C77" s="333" t="s">
        <v>403</v>
      </c>
      <c r="D77" s="739" t="s">
        <v>77</v>
      </c>
      <c r="E77" s="463">
        <f>E91</f>
        <v>0.32374148694316435</v>
      </c>
      <c r="F77" s="46"/>
      <c r="G77" s="46"/>
      <c r="H77" s="46"/>
    </row>
    <row r="78" spans="2:8">
      <c r="B78" s="46"/>
      <c r="C78" s="46"/>
      <c r="D78" s="46"/>
      <c r="E78" s="331"/>
      <c r="F78" s="46"/>
      <c r="G78" s="46"/>
      <c r="H78" s="46"/>
    </row>
    <row r="79" spans="2:8" ht="13.5" thickBot="1">
      <c r="G79" s="48"/>
    </row>
    <row r="80" spans="2:8" ht="16.5" thickTop="1" thickBot="1">
      <c r="E80" s="785" t="s">
        <v>452</v>
      </c>
      <c r="F80" s="786"/>
      <c r="G80" s="786"/>
      <c r="H80" s="787"/>
    </row>
    <row r="81" spans="2:8" ht="27">
      <c r="B81" s="425" t="s">
        <v>0</v>
      </c>
      <c r="C81" s="233"/>
      <c r="D81" s="427" t="s">
        <v>2</v>
      </c>
      <c r="E81" s="189" t="s">
        <v>341</v>
      </c>
      <c r="F81" s="788" t="s">
        <v>80</v>
      </c>
      <c r="G81" s="788" t="s">
        <v>343</v>
      </c>
      <c r="H81" s="788" t="s">
        <v>344</v>
      </c>
    </row>
    <row r="82" spans="2:8" ht="15" thickBot="1">
      <c r="B82" s="426"/>
      <c r="C82" s="426" t="s">
        <v>404</v>
      </c>
      <c r="D82" s="428"/>
      <c r="E82" s="370" t="s">
        <v>342</v>
      </c>
      <c r="F82" s="789"/>
      <c r="G82" s="789"/>
      <c r="H82" s="789"/>
    </row>
    <row r="83" spans="2:8" ht="13.5" thickBot="1">
      <c r="B83" s="368" t="s">
        <v>76</v>
      </c>
      <c r="C83" s="438" t="s">
        <v>399</v>
      </c>
      <c r="D83" s="742" t="s">
        <v>77</v>
      </c>
      <c r="E83" s="461">
        <f>SUM(F83:H83)</f>
        <v>0.15992056528417817</v>
      </c>
      <c r="F83" s="459">
        <f>F20</f>
        <v>0.15828999999999999</v>
      </c>
      <c r="G83" s="459">
        <f>G20*$D$58</f>
        <v>1.3095238095238093E-4</v>
      </c>
      <c r="H83" s="459">
        <f>H20*$E$58</f>
        <v>1.4996129032258064E-3</v>
      </c>
    </row>
    <row r="84" spans="2:8" ht="13.5" thickBot="1">
      <c r="B84" s="191" t="s">
        <v>78</v>
      </c>
      <c r="C84" s="438" t="s">
        <v>399</v>
      </c>
      <c r="D84" s="742" t="s">
        <v>77</v>
      </c>
      <c r="E84" s="460">
        <f t="shared" ref="E84:E90" si="2">SUM(F84:H84)</f>
        <v>9.4196291858678963E-2</v>
      </c>
      <c r="F84" s="459">
        <f t="shared" ref="F84:F90" si="3">F21</f>
        <v>9.3299999999999994E-2</v>
      </c>
      <c r="G84" s="459">
        <f t="shared" ref="G84:G91" si="4">G21*$D$58</f>
        <v>1.1904761904761903E-5</v>
      </c>
      <c r="H84" s="459">
        <f t="shared" ref="H84:H90" si="5">H21*$E$58</f>
        <v>8.8438709677419363E-4</v>
      </c>
    </row>
    <row r="85" spans="2:8" ht="13.5" thickBot="1">
      <c r="B85" s="191"/>
      <c r="C85" s="438" t="s">
        <v>400</v>
      </c>
      <c r="D85" s="742" t="s">
        <v>77</v>
      </c>
      <c r="E85" s="460">
        <f>SUM(F85:H85)</f>
        <v>8.9767840245775735E-2</v>
      </c>
      <c r="F85" s="459">
        <f t="shared" si="3"/>
        <v>8.8910000000000003E-2</v>
      </c>
      <c r="G85" s="459">
        <f>G22*$D$58</f>
        <v>1.1904761904761903E-5</v>
      </c>
      <c r="H85" s="459">
        <f>H22*$E$58</f>
        <v>8.4593548387096773E-4</v>
      </c>
    </row>
    <row r="86" spans="2:8" ht="13.5" thickBot="1">
      <c r="B86" s="191"/>
      <c r="C86" s="438" t="s">
        <v>401</v>
      </c>
      <c r="D86" s="742" t="s">
        <v>77</v>
      </c>
      <c r="E86" s="461">
        <f>SUM(F86:H86)</f>
        <v>0.13464119508448541</v>
      </c>
      <c r="F86" s="459">
        <f>F23</f>
        <v>0.13336999999999999</v>
      </c>
      <c r="G86" s="459">
        <f t="shared" si="4"/>
        <v>1.1904761904761905E-5</v>
      </c>
      <c r="H86" s="459">
        <f t="shared" si="5"/>
        <v>1.2592903225806449E-3</v>
      </c>
    </row>
    <row r="87" spans="2:8" ht="13.5" thickBot="1">
      <c r="B87" s="191" t="s">
        <v>79</v>
      </c>
      <c r="C87" s="438" t="s">
        <v>399</v>
      </c>
      <c r="D87" s="742" t="s">
        <v>77</v>
      </c>
      <c r="E87" s="461">
        <f t="shared" si="2"/>
        <v>0.11087009831029186</v>
      </c>
      <c r="F87" s="459">
        <f t="shared" si="3"/>
        <v>0.10982</v>
      </c>
      <c r="G87" s="459">
        <f t="shared" si="4"/>
        <v>1.1904761904761903E-5</v>
      </c>
      <c r="H87" s="459">
        <f t="shared" si="5"/>
        <v>1.0381935483870966E-3</v>
      </c>
    </row>
    <row r="88" spans="2:8" ht="13.5" thickBot="1">
      <c r="B88" s="191"/>
      <c r="C88" s="438" t="s">
        <v>400</v>
      </c>
      <c r="D88" s="742" t="s">
        <v>77</v>
      </c>
      <c r="E88" s="460">
        <f t="shared" si="2"/>
        <v>8.0929419354838703E-2</v>
      </c>
      <c r="F88" s="459">
        <f t="shared" si="3"/>
        <v>8.0169999999999991E-2</v>
      </c>
      <c r="G88" s="520">
        <f t="shared" si="4"/>
        <v>0</v>
      </c>
      <c r="H88" s="459">
        <f t="shared" si="5"/>
        <v>7.5941935483870974E-4</v>
      </c>
    </row>
    <row r="89" spans="2:8" ht="13.5" thickBot="1">
      <c r="B89" s="191"/>
      <c r="C89" s="438" t="s">
        <v>402</v>
      </c>
      <c r="D89" s="742" t="s">
        <v>77</v>
      </c>
      <c r="E89" s="461">
        <f t="shared" si="2"/>
        <v>0.12949313056835637</v>
      </c>
      <c r="F89" s="459">
        <f t="shared" si="3"/>
        <v>0.12827</v>
      </c>
      <c r="G89" s="459">
        <f t="shared" si="4"/>
        <v>1.1904761904761903E-5</v>
      </c>
      <c r="H89" s="459">
        <f t="shared" si="5"/>
        <v>1.2112258064516128E-3</v>
      </c>
    </row>
    <row r="90" spans="2:8" ht="13.5" thickBot="1">
      <c r="B90" s="191"/>
      <c r="C90" s="438" t="s">
        <v>401</v>
      </c>
      <c r="D90" s="742" t="s">
        <v>77</v>
      </c>
      <c r="E90" s="461">
        <f t="shared" si="2"/>
        <v>0.23471325960061443</v>
      </c>
      <c r="F90" s="459">
        <f t="shared" si="3"/>
        <v>0.23249999999999998</v>
      </c>
      <c r="G90" s="459">
        <f t="shared" si="4"/>
        <v>1.1904761904761903E-5</v>
      </c>
      <c r="H90" s="459">
        <f t="shared" si="5"/>
        <v>2.2013548387096772E-3</v>
      </c>
    </row>
    <row r="91" spans="2:8" ht="13.5" thickBot="1">
      <c r="B91" s="191"/>
      <c r="C91" s="438" t="s">
        <v>403</v>
      </c>
      <c r="D91" s="742" t="s">
        <v>77</v>
      </c>
      <c r="E91" s="461">
        <f>SUM(F91:H91)</f>
        <v>0.32374148694316435</v>
      </c>
      <c r="F91" s="459">
        <f>F28</f>
        <v>0.32067999999999997</v>
      </c>
      <c r="G91" s="459">
        <f t="shared" si="4"/>
        <v>2.3809523809523807E-5</v>
      </c>
      <c r="H91" s="459">
        <f>H28*$E$58</f>
        <v>3.037677419354839E-3</v>
      </c>
    </row>
  </sheetData>
  <mergeCells count="12">
    <mergeCell ref="B67:B68"/>
    <mergeCell ref="D67:D68"/>
    <mergeCell ref="E80:H80"/>
    <mergeCell ref="F81:F82"/>
    <mergeCell ref="G81:G82"/>
    <mergeCell ref="H81:H82"/>
    <mergeCell ref="B4:B5"/>
    <mergeCell ref="D4:D5"/>
    <mergeCell ref="E17:H17"/>
    <mergeCell ref="F18:F19"/>
    <mergeCell ref="G18:G19"/>
    <mergeCell ref="H18:H19"/>
  </mergeCells>
  <hyperlinks>
    <hyperlink ref="B60" r:id="rId1"/>
  </hyperlinks>
  <pageMargins left="0.70866141732283472" right="0.70866141732283472" top="0.74803149606299213" bottom="0.74803149606299213" header="0.31496062992125984" footer="0.31496062992125984"/>
  <pageSetup paperSize="8" scale="57" orientation="landscape" r:id="rId2"/>
  <drawing r:id="rId3"/>
  <legacyDrawing r:id="rId4"/>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pageSetUpPr fitToPage="1"/>
  </sheetPr>
  <dimension ref="B1:L73"/>
  <sheetViews>
    <sheetView zoomScale="80" zoomScaleNormal="80" workbookViewId="0">
      <selection activeCell="C61" sqref="C61:C62"/>
    </sheetView>
  </sheetViews>
  <sheetFormatPr defaultColWidth="9.140625" defaultRowHeight="12.75"/>
  <cols>
    <col min="1" max="1" width="9.140625" style="7"/>
    <col min="2" max="2" width="28.28515625" style="7" customWidth="1"/>
    <col min="3" max="3" width="20" style="16" customWidth="1"/>
    <col min="4" max="4" width="21.28515625" style="17" bestFit="1" customWidth="1"/>
    <col min="5" max="5" width="8.85546875" style="7" hidden="1" customWidth="1"/>
    <col min="6" max="6" width="55.5703125" style="7" customWidth="1"/>
    <col min="7" max="7" width="13.28515625" style="7" customWidth="1"/>
    <col min="8" max="8" width="78.5703125" style="7" customWidth="1"/>
    <col min="9" max="9" width="17.85546875" style="7" bestFit="1" customWidth="1"/>
    <col min="10" max="16384" width="9.140625" style="7"/>
  </cols>
  <sheetData>
    <row r="1" spans="2:8">
      <c r="B1" s="437" t="s">
        <v>279</v>
      </c>
    </row>
    <row r="3" spans="2:8" ht="13.9" customHeight="1">
      <c r="B3" s="8"/>
      <c r="D3" s="18"/>
      <c r="E3" s="8"/>
      <c r="F3" s="8"/>
    </row>
    <row r="4" spans="2:8" ht="13.9" customHeight="1" thickBot="1">
      <c r="B4" s="158" t="s">
        <v>445</v>
      </c>
      <c r="D4" s="18"/>
      <c r="E4" s="8"/>
      <c r="F4" s="8"/>
      <c r="H4" s="158"/>
    </row>
    <row r="5" spans="2:8" ht="52.5" customHeight="1" thickBot="1">
      <c r="B5" s="615" t="s">
        <v>84</v>
      </c>
      <c r="C5" s="747" t="s">
        <v>511</v>
      </c>
      <c r="D5" s="612" t="s">
        <v>510</v>
      </c>
      <c r="E5" s="613" t="s">
        <v>85</v>
      </c>
      <c r="F5" s="614" t="s">
        <v>86</v>
      </c>
      <c r="H5" s="19"/>
    </row>
    <row r="6" spans="2:8" ht="13.5" thickBot="1">
      <c r="B6" s="793" t="s">
        <v>87</v>
      </c>
      <c r="C6" s="794"/>
      <c r="D6" s="795"/>
      <c r="E6" s="794"/>
      <c r="F6" s="796"/>
    </row>
    <row r="7" spans="2:8">
      <c r="B7" s="40" t="s">
        <v>88</v>
      </c>
      <c r="C7" s="743" t="s">
        <v>89</v>
      </c>
      <c r="D7" s="450">
        <f>0.4*0.5*0.5*(16/12)*0.9*21</f>
        <v>2.52</v>
      </c>
      <c r="E7" s="41">
        <v>0.12</v>
      </c>
      <c r="F7" s="451" t="s">
        <v>90</v>
      </c>
      <c r="H7" s="15"/>
    </row>
    <row r="8" spans="2:8" ht="15">
      <c r="B8" s="42" t="s">
        <v>91</v>
      </c>
      <c r="C8" s="743" t="s">
        <v>89</v>
      </c>
      <c r="D8" s="452">
        <f>0.15*0.5*0.5*(16/12)*0.9*21</f>
        <v>0.94499999999999995</v>
      </c>
      <c r="E8" s="43">
        <v>4.4999999999999998E-2</v>
      </c>
      <c r="F8" s="453" t="s">
        <v>409</v>
      </c>
      <c r="H8" s="165"/>
    </row>
    <row r="9" spans="2:8" ht="13.5" thickBot="1">
      <c r="B9" s="44" t="s">
        <v>21</v>
      </c>
      <c r="C9" s="743" t="s">
        <v>89</v>
      </c>
      <c r="D9" s="454">
        <f>0.3*0.5*0.5*(16/12)*0.9*21</f>
        <v>1.89</v>
      </c>
      <c r="E9" s="45">
        <v>0.09</v>
      </c>
      <c r="F9" s="453" t="s">
        <v>92</v>
      </c>
      <c r="H9" s="318"/>
    </row>
    <row r="10" spans="2:8" ht="13.5" thickBot="1">
      <c r="B10" s="793" t="s">
        <v>93</v>
      </c>
      <c r="C10" s="794"/>
      <c r="D10" s="797"/>
      <c r="E10" s="794"/>
      <c r="F10" s="796"/>
      <c r="H10" s="292"/>
    </row>
    <row r="11" spans="2:8">
      <c r="B11" s="40" t="s">
        <v>88</v>
      </c>
      <c r="C11" s="743" t="s">
        <v>89</v>
      </c>
      <c r="D11" s="452">
        <f>0.4*0.5*0.5*(16/12)*(1-B24)*0.9*21</f>
        <v>0.91753975226720674</v>
      </c>
      <c r="E11" s="41">
        <v>7.3999999999999996E-2</v>
      </c>
      <c r="F11" s="616" t="s">
        <v>446</v>
      </c>
      <c r="H11" s="167"/>
    </row>
    <row r="12" spans="2:8">
      <c r="B12" s="42" t="s">
        <v>91</v>
      </c>
      <c r="C12" s="744" t="s">
        <v>89</v>
      </c>
      <c r="D12" s="452">
        <f>0.15*0.5*0.5*(16/12)*(1-B24)*0.9*21</f>
        <v>0.34407740710020251</v>
      </c>
      <c r="E12" s="43">
        <v>2.8000000000000001E-2</v>
      </c>
      <c r="F12" s="616" t="s">
        <v>447</v>
      </c>
      <c r="H12" s="167"/>
    </row>
    <row r="13" spans="2:8" ht="13.5" thickBot="1">
      <c r="B13" s="44" t="s">
        <v>21</v>
      </c>
      <c r="C13" s="745" t="s">
        <v>89</v>
      </c>
      <c r="D13" s="617">
        <f>0.3*0.5*0.5*(16/12)*(1-B24)*0.9*21</f>
        <v>0.68815481420040503</v>
      </c>
      <c r="E13" s="45">
        <v>5.5E-2</v>
      </c>
      <c r="F13" s="616" t="s">
        <v>448</v>
      </c>
      <c r="H13" s="167"/>
    </row>
    <row r="14" spans="2:8" ht="13.5" thickBot="1">
      <c r="B14" s="798" t="s">
        <v>94</v>
      </c>
      <c r="C14" s="791"/>
      <c r="D14" s="791"/>
      <c r="E14" s="795"/>
      <c r="F14" s="799"/>
    </row>
    <row r="15" spans="2:8">
      <c r="B15" s="218" t="s">
        <v>95</v>
      </c>
      <c r="C15" s="746" t="s">
        <v>89</v>
      </c>
      <c r="D15" s="450">
        <f>F24*0.9*21</f>
        <v>0.9984621960794704</v>
      </c>
      <c r="E15" s="219" t="s">
        <v>96</v>
      </c>
      <c r="F15" s="455" t="s">
        <v>449</v>
      </c>
      <c r="G15" s="213"/>
    </row>
    <row r="16" spans="2:8" ht="26.25" thickBot="1">
      <c r="B16" s="38" t="s">
        <v>97</v>
      </c>
      <c r="C16" s="745" t="s">
        <v>89</v>
      </c>
      <c r="D16" s="454">
        <f>((D28*0.4)+(D29*0.15)+(0*0.3))*0.5*0.5*(16/12)*0.9*21</f>
        <v>1.5471697500000001</v>
      </c>
      <c r="E16" s="39"/>
      <c r="F16" s="456" t="s">
        <v>378</v>
      </c>
    </row>
    <row r="17" spans="2:12" ht="13.5" thickBot="1">
      <c r="B17" s="790" t="s">
        <v>98</v>
      </c>
      <c r="C17" s="791"/>
      <c r="D17" s="791"/>
      <c r="E17" s="791"/>
      <c r="F17" s="792"/>
    </row>
    <row r="18" spans="2:12">
      <c r="B18" s="218" t="s">
        <v>95</v>
      </c>
      <c r="C18" s="746" t="s">
        <v>89</v>
      </c>
      <c r="D18" s="618">
        <f>F24*(1-B24)*0.9*21</f>
        <v>0.36354315715830499</v>
      </c>
      <c r="E18" s="619" t="s">
        <v>99</v>
      </c>
      <c r="F18" s="455" t="s">
        <v>450</v>
      </c>
      <c r="H18" s="33"/>
    </row>
    <row r="19" spans="2:12" ht="26.25" thickBot="1">
      <c r="B19" s="38" t="s">
        <v>97</v>
      </c>
      <c r="C19" s="745" t="s">
        <v>89</v>
      </c>
      <c r="D19" s="617">
        <f>((0.536*0.4)+(0.208*0.15)+(0*0.3))*0.5*0.5*(16/12)*(1-B24)*(1-0.1)*21</f>
        <v>0.56336940789206502</v>
      </c>
      <c r="E19" s="620"/>
      <c r="F19" s="456" t="s">
        <v>451</v>
      </c>
    </row>
    <row r="20" spans="2:12">
      <c r="H20" s="19"/>
    </row>
    <row r="22" spans="2:12" ht="13.5" thickBot="1">
      <c r="B22" s="20" t="s">
        <v>379</v>
      </c>
      <c r="C22" s="21"/>
      <c r="D22" s="22"/>
      <c r="E22" s="20"/>
      <c r="F22" s="23"/>
      <c r="H22" s="24"/>
      <c r="I22" s="25"/>
      <c r="J22" s="26"/>
      <c r="K22" s="27"/>
      <c r="L22" s="27"/>
    </row>
    <row r="23" spans="2:12" ht="66.75">
      <c r="B23" s="608" t="s">
        <v>280</v>
      </c>
      <c r="C23" s="609" t="s">
        <v>375</v>
      </c>
      <c r="D23" s="607" t="s">
        <v>376</v>
      </c>
      <c r="E23" s="610"/>
      <c r="F23" s="611" t="s">
        <v>377</v>
      </c>
      <c r="H23" s="28"/>
      <c r="I23" s="32"/>
      <c r="J23" s="30"/>
      <c r="K23" s="31"/>
      <c r="L23" s="31"/>
    </row>
    <row r="24" spans="2:12" ht="15.75" thickBot="1">
      <c r="B24" s="627">
        <f>C24/D24</f>
        <v>0.63589692370348938</v>
      </c>
      <c r="C24" s="628">
        <v>48.453600431068203</v>
      </c>
      <c r="D24" s="629">
        <v>76.197255600597146</v>
      </c>
      <c r="E24" s="630"/>
      <c r="F24" s="631">
        <v>5.28286876232524E-2</v>
      </c>
      <c r="H24" s="366"/>
      <c r="I24" s="367"/>
      <c r="J24" s="30"/>
      <c r="K24" s="31"/>
      <c r="L24" s="31"/>
    </row>
    <row r="25" spans="2:12">
      <c r="B25" s="164"/>
      <c r="C25" s="621"/>
      <c r="D25" s="622"/>
      <c r="E25" s="164"/>
      <c r="F25" s="164"/>
      <c r="H25" s="28"/>
      <c r="I25" s="16"/>
      <c r="J25" s="30"/>
      <c r="K25" s="31"/>
      <c r="L25" s="31"/>
    </row>
    <row r="26" spans="2:12" ht="13.5" thickBot="1">
      <c r="B26" s="164"/>
      <c r="C26" s="621"/>
      <c r="D26" s="622"/>
      <c r="E26" s="164"/>
      <c r="F26" s="164"/>
      <c r="H26" s="28"/>
      <c r="I26" s="16"/>
      <c r="J26" s="30"/>
      <c r="K26" s="31"/>
      <c r="L26" s="31"/>
    </row>
    <row r="27" spans="2:12">
      <c r="B27" s="638" t="s">
        <v>81</v>
      </c>
      <c r="C27" s="639"/>
      <c r="D27" s="640"/>
      <c r="E27" s="164"/>
      <c r="F27" s="164"/>
      <c r="H27" s="28"/>
      <c r="I27" s="29"/>
      <c r="J27" s="30"/>
      <c r="K27" s="31"/>
      <c r="L27" s="31"/>
    </row>
    <row r="28" spans="2:12" ht="14.25">
      <c r="B28" s="217"/>
      <c r="C28" s="632" t="s">
        <v>82</v>
      </c>
      <c r="D28" s="633">
        <f>[1]Sheet1!$C$24</f>
        <v>0.53605000000000003</v>
      </c>
      <c r="E28" s="9"/>
      <c r="F28" s="9"/>
      <c r="H28" s="25"/>
      <c r="I28" s="25"/>
      <c r="J28" s="26"/>
      <c r="K28" s="27"/>
      <c r="L28" s="27"/>
    </row>
    <row r="29" spans="2:12">
      <c r="B29" s="634"/>
      <c r="C29" s="632" t="s">
        <v>83</v>
      </c>
      <c r="D29" s="633">
        <f>[1]Sheet1!$D$24</f>
        <v>0.20775000000000002</v>
      </c>
      <c r="E29" s="9"/>
      <c r="F29" s="9"/>
      <c r="H29" s="24"/>
      <c r="I29" s="25"/>
      <c r="J29" s="26"/>
      <c r="K29" s="27"/>
      <c r="L29" s="27"/>
    </row>
    <row r="30" spans="2:12" ht="13.5" thickBot="1">
      <c r="B30" s="635"/>
      <c r="C30" s="636"/>
      <c r="D30" s="637"/>
      <c r="E30" s="164"/>
      <c r="F30" s="164"/>
      <c r="H30" s="28"/>
      <c r="I30" s="32"/>
      <c r="J30" s="30"/>
      <c r="K30" s="31"/>
      <c r="L30" s="31"/>
    </row>
    <row r="31" spans="2:12">
      <c r="C31" s="7"/>
      <c r="D31" s="7"/>
      <c r="H31" s="28"/>
      <c r="I31" s="32"/>
      <c r="J31" s="30"/>
      <c r="K31" s="31"/>
      <c r="L31" s="31"/>
    </row>
    <row r="32" spans="2:12">
      <c r="C32" s="7"/>
      <c r="D32" s="7"/>
    </row>
    <row r="33" spans="2:6">
      <c r="C33" s="7"/>
      <c r="D33" s="7"/>
    </row>
    <row r="34" spans="2:6">
      <c r="C34" s="7"/>
      <c r="D34" s="7"/>
    </row>
    <row r="35" spans="2:6">
      <c r="B35" s="48" t="s">
        <v>453</v>
      </c>
      <c r="C35"/>
      <c r="D35"/>
      <c r="E35"/>
    </row>
    <row r="36" spans="2:6" ht="14.25">
      <c r="B36" s="710" t="s">
        <v>457</v>
      </c>
      <c r="C36" s="423" t="s">
        <v>478</v>
      </c>
      <c r="D36" s="423" t="s">
        <v>479</v>
      </c>
      <c r="E36" s="424" t="s">
        <v>480</v>
      </c>
      <c r="F36" s="424" t="s">
        <v>480</v>
      </c>
    </row>
    <row r="37" spans="2:6">
      <c r="B37" s="373" t="s">
        <v>455</v>
      </c>
      <c r="C37" s="179">
        <v>1</v>
      </c>
      <c r="D37" s="570">
        <v>21</v>
      </c>
      <c r="E37" s="571">
        <v>310</v>
      </c>
      <c r="F37" s="571">
        <v>310</v>
      </c>
    </row>
    <row r="38" spans="2:6">
      <c r="B38" s="50" t="s">
        <v>456</v>
      </c>
      <c r="C38" s="572">
        <v>1</v>
      </c>
      <c r="D38" s="572">
        <v>25</v>
      </c>
      <c r="E38" s="572">
        <v>298</v>
      </c>
      <c r="F38" s="572">
        <v>298</v>
      </c>
    </row>
    <row r="39" spans="2:6">
      <c r="B39" s="50" t="s">
        <v>454</v>
      </c>
      <c r="C39" s="564" t="s">
        <v>212</v>
      </c>
      <c r="D39" s="573">
        <f>D38/D37</f>
        <v>1.1904761904761905</v>
      </c>
      <c r="E39" s="574">
        <f>E38/E37</f>
        <v>0.96129032258064517</v>
      </c>
      <c r="F39" s="574">
        <f>F38/F37</f>
        <v>0.96129032258064517</v>
      </c>
    </row>
    <row r="40" spans="2:6">
      <c r="B40" s="129" t="s">
        <v>485</v>
      </c>
      <c r="C40"/>
      <c r="D40"/>
      <c r="E40"/>
    </row>
    <row r="41" spans="2:6">
      <c r="B41" s="15" t="s">
        <v>487</v>
      </c>
      <c r="C41"/>
      <c r="D41"/>
      <c r="E41"/>
    </row>
    <row r="42" spans="2:6">
      <c r="B42" s="47" t="s">
        <v>458</v>
      </c>
      <c r="C42" s="7"/>
      <c r="D42" s="7"/>
    </row>
    <row r="43" spans="2:6">
      <c r="C43" s="7"/>
      <c r="D43" s="7"/>
    </row>
    <row r="44" spans="2:6">
      <c r="C44" s="7"/>
      <c r="D44" s="7"/>
    </row>
    <row r="45" spans="2:6">
      <c r="C45" s="7"/>
      <c r="D45" s="7"/>
    </row>
    <row r="46" spans="2:6">
      <c r="B46" s="158" t="s">
        <v>445</v>
      </c>
      <c r="C46" s="7"/>
      <c r="D46" s="7"/>
    </row>
    <row r="47" spans="2:6" ht="13.5" thickBot="1">
      <c r="B47" s="434" t="s">
        <v>481</v>
      </c>
      <c r="D47" s="18"/>
      <c r="E47" s="8"/>
      <c r="F47" s="8"/>
    </row>
    <row r="48" spans="2:6" ht="52.5" customHeight="1" thickBot="1">
      <c r="B48" s="748" t="s">
        <v>84</v>
      </c>
      <c r="C48" s="747" t="s">
        <v>511</v>
      </c>
      <c r="D48" s="612" t="s">
        <v>510</v>
      </c>
      <c r="E48" s="613" t="s">
        <v>85</v>
      </c>
      <c r="F48" s="614" t="s">
        <v>86</v>
      </c>
    </row>
    <row r="49" spans="2:6" ht="13.5" thickBot="1">
      <c r="B49" s="793" t="s">
        <v>87</v>
      </c>
      <c r="C49" s="794"/>
      <c r="D49" s="795"/>
      <c r="E49" s="794"/>
      <c r="F49" s="796"/>
    </row>
    <row r="50" spans="2:6">
      <c r="B50" s="40" t="s">
        <v>88</v>
      </c>
      <c r="C50" s="743" t="s">
        <v>89</v>
      </c>
      <c r="D50" s="450">
        <f>0.4*0.5*0.5*(16/12)*0.9*25</f>
        <v>3</v>
      </c>
      <c r="E50" s="41">
        <v>0.12</v>
      </c>
      <c r="F50" s="451" t="s">
        <v>460</v>
      </c>
    </row>
    <row r="51" spans="2:6">
      <c r="B51" s="42" t="s">
        <v>91</v>
      </c>
      <c r="C51" s="743" t="s">
        <v>89</v>
      </c>
      <c r="D51" s="457">
        <f>0.15*0.5*0.5*(16/12)*0.9*25</f>
        <v>1.125</v>
      </c>
      <c r="E51" s="43">
        <v>4.4999999999999998E-2</v>
      </c>
      <c r="F51" s="453" t="s">
        <v>461</v>
      </c>
    </row>
    <row r="52" spans="2:6" ht="13.5" customHeight="1" thickBot="1">
      <c r="B52" s="44" t="s">
        <v>21</v>
      </c>
      <c r="C52" s="743" t="s">
        <v>89</v>
      </c>
      <c r="D52" s="454">
        <f>0.3*0.5*0.5*(16/12)*0.9*25</f>
        <v>2.25</v>
      </c>
      <c r="E52" s="45">
        <v>0.09</v>
      </c>
      <c r="F52" s="453" t="s">
        <v>462</v>
      </c>
    </row>
    <row r="53" spans="2:6" ht="13.5" thickBot="1">
      <c r="B53" s="793" t="s">
        <v>93</v>
      </c>
      <c r="C53" s="794"/>
      <c r="D53" s="797"/>
      <c r="E53" s="794"/>
      <c r="F53" s="796"/>
    </row>
    <row r="54" spans="2:6">
      <c r="B54" s="40" t="s">
        <v>88</v>
      </c>
      <c r="C54" s="743" t="s">
        <v>89</v>
      </c>
      <c r="D54" s="457">
        <f>0.4*0.5*0.5*(16/12)*(1-B67)*0.9*25</f>
        <v>1.0923092288895317</v>
      </c>
      <c r="E54" s="41">
        <v>7.3999999999999996E-2</v>
      </c>
      <c r="F54" s="616" t="s">
        <v>463</v>
      </c>
    </row>
    <row r="55" spans="2:6">
      <c r="B55" s="42" t="s">
        <v>91</v>
      </c>
      <c r="C55" s="744" t="s">
        <v>89</v>
      </c>
      <c r="D55" s="452">
        <f>0.15*0.5*0.5*(16/12)*(1-B67)*0.9*25</f>
        <v>0.40961596083357438</v>
      </c>
      <c r="E55" s="43">
        <v>2.8000000000000001E-2</v>
      </c>
      <c r="F55" s="616" t="s">
        <v>464</v>
      </c>
    </row>
    <row r="56" spans="2:6" ht="13.5" customHeight="1" thickBot="1">
      <c r="B56" s="44" t="s">
        <v>21</v>
      </c>
      <c r="C56" s="745" t="s">
        <v>89</v>
      </c>
      <c r="D56" s="617">
        <f>0.3*0.5*0.5*(16/12)*(1-B67)*0.9*25</f>
        <v>0.81923192166714875</v>
      </c>
      <c r="E56" s="45">
        <v>5.5E-2</v>
      </c>
      <c r="F56" s="616" t="s">
        <v>465</v>
      </c>
    </row>
    <row r="57" spans="2:6" ht="13.5" thickBot="1">
      <c r="B57" s="798" t="s">
        <v>94</v>
      </c>
      <c r="C57" s="791"/>
      <c r="D57" s="791"/>
      <c r="E57" s="795"/>
      <c r="F57" s="799"/>
    </row>
    <row r="58" spans="2:6">
      <c r="B58" s="218" t="s">
        <v>95</v>
      </c>
      <c r="C58" s="746" t="s">
        <v>89</v>
      </c>
      <c r="D58" s="450">
        <f>F67*0.9*25</f>
        <v>1.1886454715231789</v>
      </c>
      <c r="E58" s="219" t="s">
        <v>96</v>
      </c>
      <c r="F58" s="455" t="s">
        <v>466</v>
      </c>
    </row>
    <row r="59" spans="2:6" ht="13.5" customHeight="1" thickBot="1">
      <c r="B59" s="38" t="s">
        <v>97</v>
      </c>
      <c r="C59" s="745" t="s">
        <v>89</v>
      </c>
      <c r="D59" s="454">
        <f>((D71*0.4)+(D72*0.15)+(0*0.3))*0.5*0.5*(16/12)*0.9*25</f>
        <v>1.8418687500000002</v>
      </c>
      <c r="E59" s="39"/>
      <c r="F59" s="456" t="s">
        <v>467</v>
      </c>
    </row>
    <row r="60" spans="2:6" ht="13.5" thickBot="1">
      <c r="B60" s="790" t="s">
        <v>98</v>
      </c>
      <c r="C60" s="791"/>
      <c r="D60" s="791"/>
      <c r="E60" s="791"/>
      <c r="F60" s="792"/>
    </row>
    <row r="61" spans="2:6">
      <c r="B61" s="218" t="s">
        <v>95</v>
      </c>
      <c r="C61" s="746" t="s">
        <v>89</v>
      </c>
      <c r="D61" s="618">
        <f>F67*(1-B67)*0.9*25</f>
        <v>0.4327894728075059</v>
      </c>
      <c r="E61" s="619" t="s">
        <v>99</v>
      </c>
      <c r="F61" s="455" t="s">
        <v>468</v>
      </c>
    </row>
    <row r="62" spans="2:6" ht="26.25" thickBot="1">
      <c r="B62" s="38" t="s">
        <v>97</v>
      </c>
      <c r="C62" s="745" t="s">
        <v>89</v>
      </c>
      <c r="D62" s="617">
        <f>((0.536*0.4)+(0.208*0.15)+(0*0.3))*0.5*0.5*(16/12)*(1-B67)*(1-0.1)*25</f>
        <v>0.67067786653817263</v>
      </c>
      <c r="E62" s="620"/>
      <c r="F62" s="456" t="s">
        <v>469</v>
      </c>
    </row>
    <row r="63" spans="2:6">
      <c r="B63" s="164"/>
      <c r="C63" s="621"/>
      <c r="D63" s="622"/>
      <c r="E63" s="164"/>
      <c r="F63" s="164"/>
    </row>
    <row r="64" spans="2:6">
      <c r="B64" s="164"/>
      <c r="C64" s="621"/>
      <c r="D64" s="622"/>
      <c r="E64" s="164"/>
      <c r="F64" s="164"/>
    </row>
    <row r="65" spans="2:6" ht="13.5" thickBot="1">
      <c r="B65" s="20" t="s">
        <v>379</v>
      </c>
      <c r="C65" s="21"/>
      <c r="D65" s="22"/>
      <c r="E65" s="20"/>
      <c r="F65" s="623"/>
    </row>
    <row r="66" spans="2:6" ht="66.75">
      <c r="B66" s="624" t="s">
        <v>280</v>
      </c>
      <c r="C66" s="609" t="s">
        <v>375</v>
      </c>
      <c r="D66" s="607" t="s">
        <v>376</v>
      </c>
      <c r="E66" s="625"/>
      <c r="F66" s="626" t="s">
        <v>377</v>
      </c>
    </row>
    <row r="67" spans="2:6" ht="15.75" thickBot="1">
      <c r="B67" s="627">
        <f>C67/D67</f>
        <v>0.63589692370348938</v>
      </c>
      <c r="C67" s="628">
        <v>48.453600431068203</v>
      </c>
      <c r="D67" s="629">
        <v>76.197255600597146</v>
      </c>
      <c r="E67" s="630"/>
      <c r="F67" s="631">
        <v>5.28286876232524E-2</v>
      </c>
    </row>
    <row r="69" spans="2:6" ht="13.5" thickBot="1"/>
    <row r="70" spans="2:6">
      <c r="B70" s="214" t="s">
        <v>81</v>
      </c>
      <c r="C70" s="215"/>
      <c r="D70" s="216"/>
    </row>
    <row r="71" spans="2:6" ht="14.25">
      <c r="B71" s="217"/>
      <c r="C71" s="632" t="s">
        <v>82</v>
      </c>
      <c r="D71" s="633">
        <f>[1]Sheet1!$C$24</f>
        <v>0.53605000000000003</v>
      </c>
      <c r="E71" s="8"/>
      <c r="F71" s="8"/>
    </row>
    <row r="72" spans="2:6">
      <c r="B72" s="634"/>
      <c r="C72" s="632" t="s">
        <v>83</v>
      </c>
      <c r="D72" s="633">
        <f>[1]Sheet1!$D$24</f>
        <v>0.20775000000000002</v>
      </c>
      <c r="E72" s="8"/>
      <c r="F72" s="8"/>
    </row>
    <row r="73" spans="2:6" ht="13.5" thickBot="1">
      <c r="B73" s="635"/>
      <c r="C73" s="636"/>
      <c r="D73" s="637"/>
    </row>
  </sheetData>
  <mergeCells count="8">
    <mergeCell ref="B60:F60"/>
    <mergeCell ref="B49:F49"/>
    <mergeCell ref="B53:F53"/>
    <mergeCell ref="B57:F57"/>
    <mergeCell ref="B6:F6"/>
    <mergeCell ref="B10:F10"/>
    <mergeCell ref="B14:F14"/>
    <mergeCell ref="B17:F17"/>
  </mergeCells>
  <hyperlinks>
    <hyperlink ref="E15" location="_ftn2" display="_ftn2"/>
    <hyperlink ref="E58" location="_ftn2" display="_ftn2"/>
    <hyperlink ref="B41" r:id="rId1"/>
  </hyperlinks>
  <pageMargins left="0.74803149606299213" right="0.74803149606299213" top="0.98425196850393704" bottom="0.98425196850393704" header="0.51181102362204722" footer="0.51181102362204722"/>
  <pageSetup paperSize="8" scale="46" orientation="landscape" r:id="rId2"/>
  <headerFooter alignWithMargins="0"/>
  <drawing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pageSetUpPr fitToPage="1"/>
  </sheetPr>
  <dimension ref="A1:AN56"/>
  <sheetViews>
    <sheetView topLeftCell="I2" zoomScale="90" zoomScaleNormal="90" workbookViewId="0">
      <selection activeCell="AI29" sqref="AI29"/>
    </sheetView>
  </sheetViews>
  <sheetFormatPr defaultColWidth="9.140625" defaultRowHeight="12.75"/>
  <cols>
    <col min="1" max="1" width="4.42578125" style="153" customWidth="1"/>
    <col min="2" max="3" width="9.140625" style="153"/>
    <col min="4" max="4" width="10" style="139" bestFit="1" customWidth="1"/>
    <col min="5" max="5" width="14.5703125" style="139" customWidth="1"/>
    <col min="6" max="6" width="2" style="139" customWidth="1"/>
    <col min="7" max="7" width="4.85546875" style="139" bestFit="1" customWidth="1"/>
    <col min="8" max="8" width="2" style="139" customWidth="1"/>
    <col min="9" max="9" width="7" style="139" customWidth="1"/>
    <col min="10" max="10" width="2.85546875" style="139" customWidth="1"/>
    <col min="11" max="11" width="4.5703125" style="139" customWidth="1"/>
    <col min="12" max="12" width="2" style="139" customWidth="1"/>
    <col min="13" max="13" width="8.42578125" style="139" bestFit="1" customWidth="1"/>
    <col min="14" max="14" width="2.28515625" style="139" customWidth="1"/>
    <col min="15" max="15" width="5.85546875" style="139" customWidth="1"/>
    <col min="16" max="16" width="2" style="139" customWidth="1"/>
    <col min="17" max="17" width="7.140625" style="139" customWidth="1"/>
    <col min="18" max="23" width="9.140625" style="139"/>
    <col min="24" max="24" width="12.85546875" style="139" customWidth="1"/>
    <col min="25" max="25" width="11.5703125" style="139" customWidth="1"/>
    <col min="26" max="28" width="9.140625" style="139"/>
    <col min="29" max="29" width="9.140625" style="139" customWidth="1"/>
    <col min="30" max="16384" width="9.140625" style="139"/>
  </cols>
  <sheetData>
    <row r="1" spans="1:40" ht="29.25" customHeight="1">
      <c r="A1" s="659" t="s">
        <v>512</v>
      </c>
      <c r="B1" s="641"/>
      <c r="C1" s="641"/>
      <c r="D1" s="641"/>
      <c r="E1" s="641"/>
      <c r="F1" s="641"/>
      <c r="G1" s="641"/>
      <c r="H1" s="641"/>
      <c r="I1" s="641"/>
      <c r="J1" s="641"/>
      <c r="K1" s="641"/>
      <c r="L1" s="641"/>
      <c r="M1" s="641"/>
      <c r="N1" s="641"/>
      <c r="O1" s="63"/>
      <c r="P1" s="63"/>
      <c r="Q1" s="63"/>
      <c r="R1" s="63"/>
      <c r="S1" s="63"/>
      <c r="T1" s="63"/>
      <c r="W1" s="672" t="s">
        <v>308</v>
      </c>
      <c r="X1" s="660"/>
      <c r="Y1" s="660"/>
      <c r="Z1" s="660"/>
      <c r="AA1" s="660"/>
      <c r="AB1" s="660"/>
      <c r="AC1" s="660"/>
      <c r="AD1" s="660"/>
      <c r="AE1" s="660"/>
      <c r="AF1" s="660"/>
      <c r="AG1" s="660"/>
      <c r="AH1" s="660"/>
      <c r="AI1" s="660"/>
      <c r="AJ1" s="661"/>
      <c r="AK1" s="800"/>
      <c r="AL1" s="800"/>
      <c r="AM1" s="661"/>
      <c r="AN1" s="662"/>
    </row>
    <row r="2" spans="1:40" ht="14.25">
      <c r="A2" s="236"/>
      <c r="B2" s="63"/>
      <c r="C2" s="63"/>
      <c r="D2" s="63"/>
      <c r="E2" s="63"/>
      <c r="F2" s="63"/>
      <c r="G2" s="63"/>
      <c r="H2" s="63"/>
      <c r="I2" s="63"/>
      <c r="J2" s="63"/>
      <c r="K2" s="63"/>
      <c r="L2" s="63"/>
      <c r="M2" s="63"/>
      <c r="N2" s="63"/>
      <c r="O2" s="63"/>
      <c r="P2" s="63"/>
      <c r="Q2" s="63"/>
      <c r="R2" s="63"/>
      <c r="S2" s="63"/>
      <c r="T2" s="63"/>
      <c r="W2" s="663" t="s">
        <v>489</v>
      </c>
      <c r="X2" s="63"/>
      <c r="Y2" s="63"/>
      <c r="Z2" s="63"/>
      <c r="AA2" s="63"/>
      <c r="AB2" s="63"/>
      <c r="AC2" s="63"/>
      <c r="AD2" s="63"/>
      <c r="AE2" s="63"/>
      <c r="AF2" s="63"/>
      <c r="AG2" s="63"/>
      <c r="AH2" s="63"/>
      <c r="AI2" s="63"/>
      <c r="AJ2" s="664"/>
      <c r="AK2" s="665"/>
      <c r="AL2" s="665"/>
      <c r="AM2" s="664"/>
      <c r="AN2" s="666"/>
    </row>
    <row r="3" spans="1:40" ht="16.5" customHeight="1">
      <c r="A3" s="236"/>
      <c r="B3" s="642" t="s">
        <v>514</v>
      </c>
      <c r="C3" s="643"/>
      <c r="D3" s="643"/>
      <c r="E3" s="643"/>
      <c r="F3" s="643"/>
      <c r="G3" s="643"/>
      <c r="H3" s="643"/>
      <c r="I3" s="643"/>
      <c r="J3" s="643"/>
      <c r="K3" s="643"/>
      <c r="L3" s="643"/>
      <c r="M3" s="643"/>
      <c r="N3" s="643"/>
      <c r="O3" s="644"/>
      <c r="P3" s="644"/>
      <c r="Q3" s="644"/>
      <c r="R3" s="644"/>
      <c r="S3" s="644"/>
      <c r="T3" s="645"/>
      <c r="U3" s="685"/>
      <c r="W3" s="663"/>
      <c r="X3" s="63"/>
      <c r="Y3" s="63"/>
      <c r="Z3" s="63"/>
      <c r="AA3" s="63"/>
      <c r="AB3" s="63"/>
      <c r="AC3" s="63"/>
      <c r="AD3" s="63"/>
      <c r="AE3" s="63"/>
      <c r="AF3" s="63"/>
      <c r="AG3" s="63"/>
      <c r="AH3" s="63"/>
      <c r="AI3" s="63"/>
      <c r="AJ3" s="664"/>
      <c r="AK3" s="665"/>
      <c r="AL3" s="665"/>
      <c r="AM3" s="664"/>
      <c r="AN3" s="666"/>
    </row>
    <row r="4" spans="1:40" ht="51">
      <c r="A4" s="236"/>
      <c r="B4" s="646" t="s">
        <v>281</v>
      </c>
      <c r="C4" s="47"/>
      <c r="D4" s="47"/>
      <c r="E4" s="47"/>
      <c r="F4" s="47"/>
      <c r="G4" s="47"/>
      <c r="H4" s="47"/>
      <c r="I4" s="47"/>
      <c r="J4" s="47"/>
      <c r="K4" s="47"/>
      <c r="L4" s="47"/>
      <c r="M4" s="47"/>
      <c r="N4" s="47"/>
      <c r="O4" s="63"/>
      <c r="P4" s="63"/>
      <c r="Q4" s="63"/>
      <c r="R4" s="63"/>
      <c r="S4" s="63"/>
      <c r="T4" s="63"/>
      <c r="U4" s="686"/>
      <c r="W4" s="448" t="s">
        <v>244</v>
      </c>
      <c r="X4" s="750" t="s">
        <v>309</v>
      </c>
      <c r="Y4" s="751" t="s">
        <v>310</v>
      </c>
      <c r="Z4" s="751" t="s">
        <v>311</v>
      </c>
      <c r="AA4" s="751" t="s">
        <v>312</v>
      </c>
      <c r="AB4" s="751" t="s">
        <v>313</v>
      </c>
      <c r="AC4" s="751" t="s">
        <v>314</v>
      </c>
      <c r="AD4" s="751"/>
      <c r="AE4" s="751"/>
      <c r="AF4" s="751" t="s">
        <v>315</v>
      </c>
      <c r="AG4" s="751" t="s">
        <v>316</v>
      </c>
      <c r="AH4" s="751" t="s">
        <v>317</v>
      </c>
      <c r="AI4" s="751" t="s">
        <v>318</v>
      </c>
      <c r="AJ4" s="751" t="s">
        <v>319</v>
      </c>
      <c r="AK4" s="751" t="s">
        <v>320</v>
      </c>
      <c r="AL4" s="63"/>
      <c r="AM4" s="63"/>
      <c r="AN4" s="120"/>
    </row>
    <row r="5" spans="1:40" ht="18.75" customHeight="1">
      <c r="A5" s="236"/>
      <c r="B5" s="646" t="s">
        <v>516</v>
      </c>
      <c r="C5" s="47"/>
      <c r="D5" s="47"/>
      <c r="E5" s="47"/>
      <c r="F5" s="47"/>
      <c r="G5" s="47"/>
      <c r="H5" s="47"/>
      <c r="I5" s="47"/>
      <c r="J5" s="47"/>
      <c r="K5" s="47"/>
      <c r="L5" s="47"/>
      <c r="M5" s="47"/>
      <c r="N5" s="47"/>
      <c r="O5" s="63"/>
      <c r="P5" s="63"/>
      <c r="Q5" s="63"/>
      <c r="R5" s="63"/>
      <c r="S5" s="63"/>
      <c r="T5" s="63"/>
      <c r="U5" s="686"/>
      <c r="W5" s="749">
        <v>2000</v>
      </c>
      <c r="X5" s="86">
        <v>4868</v>
      </c>
      <c r="Y5" s="86">
        <v>11636</v>
      </c>
      <c r="Z5" s="86">
        <v>16742</v>
      </c>
      <c r="AA5" s="86">
        <v>24914</v>
      </c>
      <c r="AB5" s="86">
        <v>12445</v>
      </c>
      <c r="AC5" s="86">
        <v>4290</v>
      </c>
      <c r="AD5" s="63"/>
      <c r="AE5" s="63"/>
      <c r="AF5" s="86">
        <v>4676</v>
      </c>
      <c r="AG5" s="86">
        <v>26213</v>
      </c>
      <c r="AH5" s="86">
        <v>55913</v>
      </c>
      <c r="AI5" s="86">
        <v>28814</v>
      </c>
      <c r="AJ5" s="86">
        <v>4508</v>
      </c>
      <c r="AK5" s="86">
        <v>1842</v>
      </c>
      <c r="AL5" s="63"/>
      <c r="AM5" s="63"/>
      <c r="AN5" s="120"/>
    </row>
    <row r="6" spans="1:40" ht="16.5" customHeight="1">
      <c r="A6" s="236"/>
      <c r="B6" s="646" t="s">
        <v>517</v>
      </c>
      <c r="C6" s="47"/>
      <c r="D6" s="47"/>
      <c r="E6" s="47"/>
      <c r="F6" s="47"/>
      <c r="G6" s="47"/>
      <c r="H6" s="47"/>
      <c r="I6" s="47"/>
      <c r="J6" s="47"/>
      <c r="K6" s="47"/>
      <c r="L6" s="47"/>
      <c r="M6" s="47"/>
      <c r="N6" s="47"/>
      <c r="O6" s="63"/>
      <c r="P6" s="63"/>
      <c r="Q6" s="63"/>
      <c r="R6" s="63"/>
      <c r="S6" s="63"/>
      <c r="T6" s="63"/>
      <c r="U6" s="686"/>
      <c r="W6" s="749">
        <v>2001</v>
      </c>
      <c r="X6" s="86">
        <v>3561</v>
      </c>
      <c r="Y6" s="86">
        <v>8978</v>
      </c>
      <c r="Z6" s="86">
        <v>18433</v>
      </c>
      <c r="AA6" s="86">
        <v>27139</v>
      </c>
      <c r="AB6" s="86">
        <v>13026</v>
      </c>
      <c r="AC6" s="86">
        <v>4870</v>
      </c>
      <c r="AD6" s="63"/>
      <c r="AE6" s="63"/>
      <c r="AF6" s="86">
        <v>6166</v>
      </c>
      <c r="AG6" s="86">
        <v>28977</v>
      </c>
      <c r="AH6" s="86">
        <v>61132</v>
      </c>
      <c r="AI6" s="86">
        <v>31389</v>
      </c>
      <c r="AJ6" s="86">
        <v>5416</v>
      </c>
      <c r="AK6" s="86">
        <v>1640</v>
      </c>
      <c r="AL6" s="63"/>
      <c r="AM6" s="63"/>
      <c r="AN6" s="120"/>
    </row>
    <row r="7" spans="1:40" ht="12" customHeight="1">
      <c r="A7" s="236"/>
      <c r="B7" s="647" t="s">
        <v>515</v>
      </c>
      <c r="C7" s="47"/>
      <c r="D7" s="47"/>
      <c r="E7" s="47"/>
      <c r="F7" s="47"/>
      <c r="G7" s="47"/>
      <c r="H7" s="47"/>
      <c r="I7" s="47"/>
      <c r="J7" s="47"/>
      <c r="K7" s="47"/>
      <c r="L7" s="47"/>
      <c r="M7" s="47"/>
      <c r="N7" s="47"/>
      <c r="O7" s="63"/>
      <c r="P7" s="63"/>
      <c r="Q7" s="63"/>
      <c r="R7" s="63"/>
      <c r="S7" s="63"/>
      <c r="T7" s="63"/>
      <c r="U7" s="686"/>
      <c r="W7" s="749">
        <v>2002</v>
      </c>
      <c r="X7" s="86">
        <v>4504</v>
      </c>
      <c r="Y7" s="86">
        <v>5896</v>
      </c>
      <c r="Z7" s="86">
        <v>22180</v>
      </c>
      <c r="AA7" s="86">
        <v>31373</v>
      </c>
      <c r="AB7" s="86">
        <v>13766</v>
      </c>
      <c r="AC7" s="86">
        <v>6186</v>
      </c>
      <c r="AD7" s="63"/>
      <c r="AE7" s="63"/>
      <c r="AF7" s="86">
        <v>7736</v>
      </c>
      <c r="AG7" s="86">
        <v>29569</v>
      </c>
      <c r="AH7" s="86">
        <v>57442</v>
      </c>
      <c r="AI7" s="86">
        <v>39833</v>
      </c>
      <c r="AJ7" s="86">
        <v>7758</v>
      </c>
      <c r="AK7" s="86">
        <v>2354</v>
      </c>
      <c r="AL7" s="63"/>
      <c r="AM7" s="63"/>
      <c r="AN7" s="120"/>
    </row>
    <row r="8" spans="1:40" ht="15" customHeight="1">
      <c r="A8" s="236"/>
      <c r="B8" s="648" t="s">
        <v>518</v>
      </c>
      <c r="C8" s="47"/>
      <c r="D8" s="47"/>
      <c r="E8" s="47"/>
      <c r="F8" s="47"/>
      <c r="G8" s="47"/>
      <c r="H8" s="47"/>
      <c r="I8" s="47"/>
      <c r="J8" s="47"/>
      <c r="K8" s="47"/>
      <c r="L8" s="47"/>
      <c r="M8" s="47"/>
      <c r="N8" s="47"/>
      <c r="O8" s="63"/>
      <c r="P8" s="63"/>
      <c r="Q8" s="63"/>
      <c r="R8" s="63"/>
      <c r="S8" s="63"/>
      <c r="T8" s="63"/>
      <c r="U8" s="686"/>
      <c r="W8" s="749">
        <v>2003</v>
      </c>
      <c r="X8" s="86">
        <v>5707</v>
      </c>
      <c r="Y8" s="86">
        <v>6155</v>
      </c>
      <c r="Z8" s="86">
        <v>22101</v>
      </c>
      <c r="AA8" s="86">
        <v>32432</v>
      </c>
      <c r="AB8" s="86">
        <v>17928</v>
      </c>
      <c r="AC8" s="86">
        <v>6986</v>
      </c>
      <c r="AD8" s="63"/>
      <c r="AE8" s="63"/>
      <c r="AF8" s="86">
        <v>9486</v>
      </c>
      <c r="AG8" s="86">
        <v>29839</v>
      </c>
      <c r="AH8" s="86">
        <v>63976</v>
      </c>
      <c r="AI8" s="86">
        <v>50722</v>
      </c>
      <c r="AJ8" s="86">
        <v>9399</v>
      </c>
      <c r="AK8" s="86">
        <v>3480</v>
      </c>
      <c r="AL8" s="63"/>
      <c r="AM8" s="63"/>
      <c r="AN8" s="120"/>
    </row>
    <row r="9" spans="1:40" ht="20.25" customHeight="1">
      <c r="A9" s="236"/>
      <c r="B9" s="649" t="s">
        <v>405</v>
      </c>
      <c r="C9" s="47"/>
      <c r="D9" s="47"/>
      <c r="E9" s="47"/>
      <c r="F9" s="47"/>
      <c r="G9" s="47"/>
      <c r="H9" s="47"/>
      <c r="I9" s="47"/>
      <c r="J9" s="47"/>
      <c r="K9" s="47"/>
      <c r="L9" s="47"/>
      <c r="M9" s="47"/>
      <c r="N9" s="47"/>
      <c r="O9" s="63"/>
      <c r="P9" s="63"/>
      <c r="Q9" s="63"/>
      <c r="R9" s="63"/>
      <c r="S9" s="63"/>
      <c r="T9" s="63"/>
      <c r="U9" s="686"/>
      <c r="W9" s="749">
        <v>2004</v>
      </c>
      <c r="X9" s="86">
        <v>6118</v>
      </c>
      <c r="Y9" s="86">
        <v>6585</v>
      </c>
      <c r="Z9" s="86">
        <v>21839</v>
      </c>
      <c r="AA9" s="86">
        <v>34376</v>
      </c>
      <c r="AB9" s="86">
        <v>21493</v>
      </c>
      <c r="AC9" s="86">
        <v>6779</v>
      </c>
      <c r="AD9" s="63"/>
      <c r="AE9" s="63"/>
      <c r="AF9" s="86">
        <v>9261</v>
      </c>
      <c r="AG9" s="86">
        <v>27060</v>
      </c>
      <c r="AH9" s="86">
        <v>61173</v>
      </c>
      <c r="AI9" s="86">
        <v>54281</v>
      </c>
      <c r="AJ9" s="86">
        <v>9880</v>
      </c>
      <c r="AK9" s="86">
        <v>3641</v>
      </c>
      <c r="AL9" s="63"/>
      <c r="AM9" s="63"/>
      <c r="AN9" s="120"/>
    </row>
    <row r="10" spans="1:40">
      <c r="A10" s="236"/>
      <c r="B10" s="647" t="s">
        <v>519</v>
      </c>
      <c r="C10" s="47"/>
      <c r="D10" s="47"/>
      <c r="E10" s="47"/>
      <c r="F10" s="47"/>
      <c r="G10" s="47"/>
      <c r="H10" s="47"/>
      <c r="I10" s="47"/>
      <c r="J10" s="47"/>
      <c r="K10" s="47"/>
      <c r="L10" s="47"/>
      <c r="M10" s="47"/>
      <c r="N10" s="47"/>
      <c r="O10" s="63"/>
      <c r="P10" s="63"/>
      <c r="Q10" s="63"/>
      <c r="R10" s="63"/>
      <c r="S10" s="63"/>
      <c r="T10" s="63"/>
      <c r="U10" s="686"/>
      <c r="W10" s="749">
        <v>2005</v>
      </c>
      <c r="X10" s="86">
        <v>6065</v>
      </c>
      <c r="Y10" s="86">
        <v>8484</v>
      </c>
      <c r="Z10" s="86">
        <v>24046</v>
      </c>
      <c r="AA10" s="86">
        <v>36638</v>
      </c>
      <c r="AB10" s="86">
        <v>20430</v>
      </c>
      <c r="AC10" s="86">
        <v>5723</v>
      </c>
      <c r="AD10" s="63"/>
      <c r="AE10" s="63"/>
      <c r="AF10" s="86">
        <v>10201</v>
      </c>
      <c r="AG10" s="86">
        <v>26771</v>
      </c>
      <c r="AH10" s="86">
        <v>64054</v>
      </c>
      <c r="AI10" s="86">
        <v>50580</v>
      </c>
      <c r="AJ10" s="86">
        <v>8593</v>
      </c>
      <c r="AK10" s="86">
        <v>3340</v>
      </c>
      <c r="AL10" s="63"/>
      <c r="AM10" s="63"/>
      <c r="AN10" s="120"/>
    </row>
    <row r="11" spans="1:40" ht="15.75" customHeight="1">
      <c r="A11" s="236"/>
      <c r="B11" s="650" t="s">
        <v>282</v>
      </c>
      <c r="C11" s="651"/>
      <c r="D11" s="651"/>
      <c r="E11" s="651"/>
      <c r="F11" s="651"/>
      <c r="G11" s="651"/>
      <c r="H11" s="651"/>
      <c r="I11" s="651"/>
      <c r="J11" s="651"/>
      <c r="K11" s="651"/>
      <c r="L11" s="651"/>
      <c r="M11" s="651"/>
      <c r="N11" s="651"/>
      <c r="O11" s="652"/>
      <c r="P11" s="652"/>
      <c r="Q11" s="652"/>
      <c r="R11" s="652"/>
      <c r="S11" s="652"/>
      <c r="T11" s="652"/>
      <c r="U11" s="687"/>
      <c r="W11" s="749">
        <v>2006</v>
      </c>
      <c r="X11" s="86">
        <v>5609</v>
      </c>
      <c r="Y11" s="86">
        <v>9268</v>
      </c>
      <c r="Z11" s="86">
        <v>24680</v>
      </c>
      <c r="AA11" s="86">
        <v>36355</v>
      </c>
      <c r="AB11" s="86">
        <v>18325</v>
      </c>
      <c r="AC11" s="86">
        <v>4652</v>
      </c>
      <c r="AD11" s="63"/>
      <c r="AE11" s="63"/>
      <c r="AF11" s="86">
        <v>11727</v>
      </c>
      <c r="AG11" s="86">
        <v>23503</v>
      </c>
      <c r="AH11" s="86">
        <v>51970</v>
      </c>
      <c r="AI11" s="86">
        <v>38174</v>
      </c>
      <c r="AJ11" s="86">
        <v>5861</v>
      </c>
      <c r="AK11" s="86">
        <v>2730</v>
      </c>
      <c r="AL11" s="63"/>
      <c r="AM11" s="63"/>
      <c r="AN11" s="120"/>
    </row>
    <row r="12" spans="1:40">
      <c r="A12" s="236"/>
      <c r="B12" s="63"/>
      <c r="C12" s="63"/>
      <c r="D12" s="63"/>
      <c r="E12" s="63"/>
      <c r="F12" s="63"/>
      <c r="G12" s="63"/>
      <c r="H12" s="63"/>
      <c r="I12" s="63"/>
      <c r="J12" s="63"/>
      <c r="K12" s="63"/>
      <c r="L12" s="63"/>
      <c r="M12" s="63"/>
      <c r="N12" s="63"/>
      <c r="O12" s="63"/>
      <c r="P12" s="63"/>
      <c r="Q12" s="63"/>
      <c r="R12" s="63"/>
      <c r="S12" s="63"/>
      <c r="T12" s="63"/>
      <c r="W12" s="749">
        <v>2007</v>
      </c>
      <c r="X12" s="86">
        <v>4727</v>
      </c>
      <c r="Y12" s="86">
        <v>11248</v>
      </c>
      <c r="Z12" s="86">
        <v>23107</v>
      </c>
      <c r="AA12" s="86">
        <v>38773</v>
      </c>
      <c r="AB12" s="86">
        <v>18249</v>
      </c>
      <c r="AC12" s="86">
        <v>4962</v>
      </c>
      <c r="AD12" s="63"/>
      <c r="AE12" s="63"/>
      <c r="AF12" s="86">
        <v>12837</v>
      </c>
      <c r="AG12" s="86">
        <v>21292</v>
      </c>
      <c r="AH12" s="86">
        <v>50068</v>
      </c>
      <c r="AI12" s="86">
        <v>37798</v>
      </c>
      <c r="AJ12" s="86">
        <v>5756</v>
      </c>
      <c r="AK12" s="86">
        <v>3476</v>
      </c>
      <c r="AL12" s="63"/>
      <c r="AM12" s="63"/>
      <c r="AN12" s="120"/>
    </row>
    <row r="13" spans="1:40">
      <c r="A13" s="63"/>
      <c r="B13" s="63"/>
      <c r="C13" s="63"/>
      <c r="D13" s="63"/>
      <c r="E13" s="63"/>
      <c r="F13" s="63"/>
      <c r="G13" s="63"/>
      <c r="H13" s="63"/>
      <c r="I13" s="63"/>
      <c r="J13" s="63"/>
      <c r="K13" s="63"/>
      <c r="L13" s="63"/>
      <c r="M13" s="63"/>
      <c r="N13" s="63"/>
      <c r="O13" s="63"/>
      <c r="P13" s="63"/>
      <c r="Q13" s="63"/>
      <c r="R13" s="63"/>
      <c r="S13" s="63"/>
      <c r="T13" s="63"/>
      <c r="W13" s="749">
        <v>2008</v>
      </c>
      <c r="X13" s="86">
        <v>4428</v>
      </c>
      <c r="Y13" s="86">
        <v>15635</v>
      </c>
      <c r="Z13" s="86">
        <v>22073</v>
      </c>
      <c r="AA13" s="86">
        <v>35126</v>
      </c>
      <c r="AB13" s="86">
        <v>14446</v>
      </c>
      <c r="AC13" s="86">
        <v>3651</v>
      </c>
      <c r="AD13" s="63"/>
      <c r="AE13" s="63"/>
      <c r="AF13" s="86">
        <v>10940</v>
      </c>
      <c r="AG13" s="86">
        <v>17613</v>
      </c>
      <c r="AH13" s="86">
        <v>37685</v>
      </c>
      <c r="AI13" s="86">
        <v>25872</v>
      </c>
      <c r="AJ13" s="86">
        <v>3996</v>
      </c>
      <c r="AK13" s="86">
        <v>3100</v>
      </c>
      <c r="AL13" s="63"/>
      <c r="AM13" s="63"/>
      <c r="AN13" s="120"/>
    </row>
    <row r="14" spans="1:40" ht="63" customHeight="1">
      <c r="A14" s="237"/>
      <c r="B14" s="238" t="s">
        <v>67</v>
      </c>
      <c r="C14" s="238" t="s">
        <v>283</v>
      </c>
      <c r="D14" s="238" t="s">
        <v>284</v>
      </c>
      <c r="E14" s="653" t="s">
        <v>509</v>
      </c>
      <c r="F14" s="63"/>
      <c r="G14" s="63"/>
      <c r="H14" s="63"/>
      <c r="I14" s="47"/>
      <c r="J14" s="443"/>
      <c r="K14" s="239"/>
      <c r="L14" s="63"/>
      <c r="M14" s="63"/>
      <c r="N14" s="63"/>
      <c r="O14" s="63"/>
      <c r="P14" s="63"/>
      <c r="Q14" s="63"/>
      <c r="R14" s="63"/>
      <c r="S14" s="63"/>
      <c r="T14" s="63"/>
      <c r="W14" s="749">
        <v>2009</v>
      </c>
      <c r="X14" s="86">
        <v>2930</v>
      </c>
      <c r="Y14" s="86">
        <v>12218</v>
      </c>
      <c r="Z14" s="86">
        <v>17774</v>
      </c>
      <c r="AA14" s="86">
        <v>25286</v>
      </c>
      <c r="AB14" s="86">
        <v>9962</v>
      </c>
      <c r="AC14" s="86">
        <v>2089</v>
      </c>
      <c r="AD14" s="445"/>
      <c r="AE14" s="445"/>
      <c r="AF14" s="86">
        <v>10560</v>
      </c>
      <c r="AG14" s="86">
        <v>15135</v>
      </c>
      <c r="AH14" s="86">
        <v>27248</v>
      </c>
      <c r="AI14" s="86">
        <v>18827</v>
      </c>
      <c r="AJ14" s="86">
        <v>2183</v>
      </c>
      <c r="AK14" s="86">
        <v>1603</v>
      </c>
      <c r="AL14" s="63"/>
      <c r="AM14" s="63"/>
      <c r="AN14" s="120"/>
    </row>
    <row r="15" spans="1:40">
      <c r="A15" s="240"/>
      <c r="B15" s="673" t="s">
        <v>59</v>
      </c>
      <c r="C15" s="674">
        <v>6.37</v>
      </c>
      <c r="D15" s="675">
        <v>7864</v>
      </c>
      <c r="E15" s="676">
        <f>C15*D$24</f>
        <v>7.5406000762376975</v>
      </c>
      <c r="F15" s="63"/>
      <c r="G15" s="63"/>
      <c r="H15" s="63"/>
      <c r="I15" s="63"/>
      <c r="J15" s="63"/>
      <c r="K15" s="63"/>
      <c r="L15" s="63"/>
      <c r="M15" s="63"/>
      <c r="N15" s="63"/>
      <c r="O15" s="63"/>
      <c r="P15" s="63"/>
      <c r="Q15" s="63"/>
      <c r="R15" s="63"/>
      <c r="S15" s="63"/>
      <c r="T15" s="63"/>
      <c r="W15" s="749">
        <v>2010</v>
      </c>
      <c r="X15" s="86">
        <v>3206</v>
      </c>
      <c r="Y15" s="86">
        <v>12654</v>
      </c>
      <c r="Z15" s="86">
        <v>20407</v>
      </c>
      <c r="AA15" s="86">
        <v>33024</v>
      </c>
      <c r="AB15" s="86">
        <v>9355</v>
      </c>
      <c r="AC15" s="86">
        <v>2373</v>
      </c>
      <c r="AD15" s="63"/>
      <c r="AE15" s="63"/>
      <c r="AF15" s="86">
        <v>11449</v>
      </c>
      <c r="AG15" s="86">
        <v>19087</v>
      </c>
      <c r="AH15" s="86">
        <v>34376</v>
      </c>
      <c r="AI15" s="86">
        <v>24417</v>
      </c>
      <c r="AJ15" s="86">
        <v>3279</v>
      </c>
      <c r="AK15" s="86">
        <v>2140</v>
      </c>
      <c r="AL15" s="63"/>
      <c r="AM15" s="63"/>
      <c r="AN15" s="120"/>
    </row>
    <row r="16" spans="1:40">
      <c r="A16" s="241"/>
      <c r="B16" s="677" t="s">
        <v>62</v>
      </c>
      <c r="C16" s="678">
        <v>8.2799999999999994</v>
      </c>
      <c r="D16" s="679">
        <v>15214</v>
      </c>
      <c r="E16" s="680">
        <f>C16*D$24</f>
        <v>9.8015963314361265</v>
      </c>
      <c r="F16" s="63"/>
      <c r="G16" s="63"/>
      <c r="H16" s="63"/>
      <c r="I16" s="63"/>
      <c r="J16" s="63"/>
      <c r="K16" s="63"/>
      <c r="L16" s="63"/>
      <c r="M16" s="63"/>
      <c r="N16" s="63"/>
      <c r="O16" s="63"/>
      <c r="P16" s="63"/>
      <c r="Q16" s="63"/>
      <c r="R16" s="63"/>
      <c r="S16" s="63"/>
      <c r="T16" s="63"/>
      <c r="W16" s="749">
        <v>2011</v>
      </c>
      <c r="X16" s="86">
        <v>4665</v>
      </c>
      <c r="Y16" s="86">
        <v>14103</v>
      </c>
      <c r="Z16" s="86">
        <v>19554</v>
      </c>
      <c r="AA16" s="86">
        <v>35340</v>
      </c>
      <c r="AB16" s="86">
        <v>8642</v>
      </c>
      <c r="AC16" s="86">
        <v>2266</v>
      </c>
      <c r="AD16" s="63"/>
      <c r="AE16" s="63"/>
      <c r="AF16" s="86">
        <v>10830</v>
      </c>
      <c r="AG16" s="86">
        <v>16520</v>
      </c>
      <c r="AH16" s="86">
        <v>30545</v>
      </c>
      <c r="AI16" s="86">
        <v>23220</v>
      </c>
      <c r="AJ16" s="86">
        <v>3238</v>
      </c>
      <c r="AK16" s="86">
        <v>2309</v>
      </c>
      <c r="AL16" s="63"/>
      <c r="AM16" s="63"/>
      <c r="AN16" s="120"/>
    </row>
    <row r="17" spans="1:40">
      <c r="A17" s="242"/>
      <c r="B17" s="681" t="s">
        <v>64</v>
      </c>
      <c r="C17" s="682">
        <v>10.86</v>
      </c>
      <c r="D17" s="683">
        <v>5997</v>
      </c>
      <c r="E17" s="684">
        <f>C17*D$24</f>
        <v>12.855716927463327</v>
      </c>
      <c r="F17" s="63"/>
      <c r="G17" s="63"/>
      <c r="H17" s="63"/>
      <c r="I17" s="63"/>
      <c r="J17" s="63"/>
      <c r="K17" s="63"/>
      <c r="L17" s="63"/>
      <c r="M17" s="63"/>
      <c r="N17" s="63"/>
      <c r="O17" s="63"/>
      <c r="P17" s="63"/>
      <c r="Q17" s="63"/>
      <c r="R17" s="63"/>
      <c r="S17" s="63"/>
      <c r="T17" s="63"/>
      <c r="W17" s="749">
        <v>2012</v>
      </c>
      <c r="X17" s="86">
        <v>4690</v>
      </c>
      <c r="Y17" s="86">
        <v>17807</v>
      </c>
      <c r="Z17" s="86">
        <v>27576</v>
      </c>
      <c r="AA17" s="86">
        <v>36153</v>
      </c>
      <c r="AB17" s="86">
        <v>12420</v>
      </c>
      <c r="AC17" s="86">
        <v>2011</v>
      </c>
      <c r="AD17" s="58" t="s">
        <v>321</v>
      </c>
      <c r="AE17" s="445">
        <f>SUM(X17:AC17)</f>
        <v>100657</v>
      </c>
      <c r="AF17" s="86">
        <v>13067</v>
      </c>
      <c r="AG17" s="86">
        <v>19577</v>
      </c>
      <c r="AH17" s="86">
        <v>26496</v>
      </c>
      <c r="AI17" s="86">
        <v>20556</v>
      </c>
      <c r="AJ17" s="86">
        <v>2658</v>
      </c>
      <c r="AK17" s="86">
        <v>2361</v>
      </c>
      <c r="AL17" s="47" t="s">
        <v>321</v>
      </c>
      <c r="AM17" s="63">
        <f>SUM(AF17:AK17)</f>
        <v>84715</v>
      </c>
      <c r="AN17" s="120"/>
    </row>
    <row r="18" spans="1:40" ht="38.25">
      <c r="A18" s="242"/>
      <c r="B18" s="243" t="s">
        <v>66</v>
      </c>
      <c r="C18" s="244"/>
      <c r="D18" s="654">
        <f>SUM(D15:D17)</f>
        <v>29075</v>
      </c>
      <c r="E18" s="245"/>
      <c r="F18" s="63"/>
      <c r="G18" s="63"/>
      <c r="H18" s="63"/>
      <c r="I18" s="63"/>
      <c r="J18" s="63"/>
      <c r="K18" s="63"/>
      <c r="L18" s="63"/>
      <c r="M18" s="63"/>
      <c r="N18" s="63"/>
      <c r="O18" s="63"/>
      <c r="P18" s="63"/>
      <c r="Q18" s="63"/>
      <c r="R18" s="63"/>
      <c r="S18" s="63"/>
      <c r="T18" s="63"/>
      <c r="W18" s="448"/>
      <c r="X18" s="58" t="s">
        <v>322</v>
      </c>
      <c r="Y18" s="63">
        <f>X17+Y17</f>
        <v>22497</v>
      </c>
      <c r="Z18" s="58" t="s">
        <v>323</v>
      </c>
      <c r="AA18" s="445">
        <f>Z17+AA17</f>
        <v>63729</v>
      </c>
      <c r="AB18" s="58" t="s">
        <v>324</v>
      </c>
      <c r="AC18" s="445">
        <f>AB17+AC17</f>
        <v>14431</v>
      </c>
      <c r="AD18" s="445"/>
      <c r="AE18" s="445"/>
      <c r="AF18" s="58" t="s">
        <v>322</v>
      </c>
      <c r="AG18" s="445">
        <f>AF17+AG17</f>
        <v>32644</v>
      </c>
      <c r="AH18" s="58" t="s">
        <v>323</v>
      </c>
      <c r="AI18" s="445">
        <f>AH17+AI17</f>
        <v>47052</v>
      </c>
      <c r="AJ18" s="58" t="s">
        <v>324</v>
      </c>
      <c r="AK18" s="445">
        <f>AJ17+AK17</f>
        <v>5019</v>
      </c>
      <c r="AL18" s="63"/>
      <c r="AM18" s="63"/>
      <c r="AN18" s="120"/>
    </row>
    <row r="19" spans="1:40">
      <c r="A19" s="242"/>
      <c r="B19" s="246"/>
      <c r="C19" s="246"/>
      <c r="D19" s="655"/>
      <c r="E19" s="63"/>
      <c r="F19" s="63"/>
      <c r="G19" s="63"/>
      <c r="H19" s="63"/>
      <c r="I19" s="63"/>
      <c r="J19" s="63"/>
      <c r="K19" s="63"/>
      <c r="L19" s="63"/>
      <c r="M19" s="63"/>
      <c r="N19" s="63"/>
      <c r="O19" s="63"/>
      <c r="P19" s="63"/>
      <c r="Q19" s="63"/>
      <c r="R19" s="63"/>
      <c r="S19" s="63"/>
      <c r="T19" s="63"/>
      <c r="W19" s="448"/>
      <c r="X19" s="58"/>
      <c r="Y19" s="667">
        <f>Y18/AE17</f>
        <v>0.22350159452397747</v>
      </c>
      <c r="Z19" s="58"/>
      <c r="AA19" s="668">
        <f>AA18/AE17</f>
        <v>0.63313033370754146</v>
      </c>
      <c r="AB19" s="63"/>
      <c r="AC19" s="668">
        <f>AC18/AE17</f>
        <v>0.14336807176848107</v>
      </c>
      <c r="AD19" s="47" t="s">
        <v>321</v>
      </c>
      <c r="AE19" s="446">
        <f>SUM(Y19:AC19)</f>
        <v>1</v>
      </c>
      <c r="AF19" s="445"/>
      <c r="AG19" s="447">
        <f>AG18/AM17</f>
        <v>0.38533907808534495</v>
      </c>
      <c r="AH19" s="445"/>
      <c r="AI19" s="447">
        <f>AI18/AM17</f>
        <v>0.55541521572330754</v>
      </c>
      <c r="AJ19" s="445"/>
      <c r="AK19" s="447">
        <f>AK18/AM17</f>
        <v>5.9245706191347461E-2</v>
      </c>
      <c r="AL19" s="47" t="s">
        <v>321</v>
      </c>
      <c r="AM19" s="446">
        <f>SUM(AG19:AK19)</f>
        <v>1</v>
      </c>
      <c r="AN19" s="120"/>
    </row>
    <row r="20" spans="1:40">
      <c r="A20" s="242"/>
      <c r="B20" s="247"/>
      <c r="C20" s="246"/>
      <c r="D20" s="63"/>
      <c r="E20" s="63"/>
      <c r="F20" s="63"/>
      <c r="G20" s="63"/>
      <c r="H20" s="63"/>
      <c r="I20" s="63"/>
      <c r="J20" s="63"/>
      <c r="K20" s="63"/>
      <c r="L20" s="63"/>
      <c r="M20" s="63"/>
      <c r="N20" s="63"/>
      <c r="O20" s="63"/>
      <c r="P20" s="63"/>
      <c r="Q20" s="63"/>
      <c r="R20" s="63"/>
      <c r="S20" s="63"/>
      <c r="T20" s="63"/>
      <c r="W20" s="448"/>
      <c r="X20" s="58"/>
      <c r="Y20" s="63"/>
      <c r="Z20" s="58"/>
      <c r="AA20" s="445"/>
      <c r="AB20" s="58"/>
      <c r="AC20" s="63"/>
      <c r="AD20" s="447"/>
      <c r="AE20" s="447"/>
      <c r="AF20" s="445"/>
      <c r="AG20" s="445"/>
      <c r="AH20" s="445"/>
      <c r="AI20" s="445"/>
      <c r="AJ20" s="445"/>
      <c r="AK20" s="445"/>
      <c r="AL20" s="63"/>
      <c r="AM20" s="63"/>
      <c r="AN20" s="120"/>
    </row>
    <row r="21" spans="1:40">
      <c r="A21" s="242"/>
      <c r="B21" s="248" t="s">
        <v>285</v>
      </c>
      <c r="C21" s="249"/>
      <c r="D21" s="63"/>
      <c r="E21" s="63"/>
      <c r="F21" s="63"/>
      <c r="G21" s="63"/>
      <c r="H21" s="63"/>
      <c r="I21" s="63"/>
      <c r="J21" s="63"/>
      <c r="K21" s="63"/>
      <c r="L21" s="63"/>
      <c r="M21" s="63"/>
      <c r="N21" s="63"/>
      <c r="O21" s="63"/>
      <c r="P21" s="63"/>
      <c r="Q21" s="63"/>
      <c r="R21" s="63"/>
      <c r="S21" s="63"/>
      <c r="T21" s="63"/>
      <c r="W21" s="448"/>
      <c r="X21" s="58"/>
      <c r="Y21" s="63"/>
      <c r="Z21" s="58"/>
      <c r="AA21" s="445"/>
      <c r="AB21" s="58"/>
      <c r="AC21" s="447"/>
      <c r="AD21" s="447"/>
      <c r="AE21" s="447"/>
      <c r="AF21" s="445"/>
      <c r="AG21" s="445"/>
      <c r="AH21" s="445"/>
      <c r="AI21" s="445"/>
      <c r="AJ21" s="445"/>
      <c r="AK21" s="445"/>
      <c r="AL21" s="63"/>
      <c r="AM21" s="63"/>
      <c r="AN21" s="120"/>
    </row>
    <row r="22" spans="1:40" ht="26.25" customHeight="1">
      <c r="A22" s="242"/>
      <c r="B22" s="250" t="s">
        <v>443</v>
      </c>
      <c r="C22" s="249"/>
      <c r="D22" s="63"/>
      <c r="E22" s="386">
        <v>9.82</v>
      </c>
      <c r="F22" s="63"/>
      <c r="G22" s="63"/>
      <c r="H22" s="63"/>
      <c r="I22" s="63"/>
      <c r="J22" s="63"/>
      <c r="K22" s="63"/>
      <c r="L22" s="63"/>
      <c r="M22" s="63"/>
      <c r="N22" s="63"/>
      <c r="O22" s="63"/>
      <c r="P22" s="63"/>
      <c r="Q22" s="63"/>
      <c r="R22" s="63"/>
      <c r="S22" s="63"/>
      <c r="T22" s="63"/>
      <c r="W22" s="448"/>
      <c r="X22" s="58" t="s">
        <v>325</v>
      </c>
      <c r="Y22" s="63"/>
      <c r="Z22" s="58"/>
      <c r="AA22" s="445"/>
      <c r="AB22" s="58"/>
      <c r="AC22" s="447"/>
      <c r="AD22" s="447"/>
      <c r="AE22" s="447"/>
      <c r="AF22" s="445"/>
      <c r="AG22" s="445"/>
      <c r="AH22" s="445"/>
      <c r="AI22" s="445"/>
      <c r="AJ22" s="445"/>
      <c r="AK22" s="445"/>
      <c r="AL22" s="63"/>
      <c r="AM22" s="63"/>
      <c r="AN22" s="120"/>
    </row>
    <row r="23" spans="1:40" ht="12.75" customHeight="1">
      <c r="A23" s="242"/>
      <c r="B23" s="250" t="s">
        <v>444</v>
      </c>
      <c r="C23" s="249"/>
      <c r="D23" s="63"/>
      <c r="E23" s="63"/>
      <c r="F23" s="63"/>
      <c r="G23" s="656">
        <f>C15</f>
        <v>6.37</v>
      </c>
      <c r="H23" s="252" t="s">
        <v>286</v>
      </c>
      <c r="I23" s="251">
        <f>D15</f>
        <v>7864</v>
      </c>
      <c r="J23" s="252" t="s">
        <v>287</v>
      </c>
      <c r="K23" s="253">
        <f>C16</f>
        <v>8.2799999999999994</v>
      </c>
      <c r="L23" s="252" t="s">
        <v>286</v>
      </c>
      <c r="M23" s="251">
        <f>D16</f>
        <v>15214</v>
      </c>
      <c r="N23" s="252" t="s">
        <v>287</v>
      </c>
      <c r="O23" s="253">
        <f>C17</f>
        <v>10.86</v>
      </c>
      <c r="P23" s="252" t="s">
        <v>286</v>
      </c>
      <c r="Q23" s="251">
        <f>D17</f>
        <v>5997</v>
      </c>
      <c r="R23" s="252" t="s">
        <v>288</v>
      </c>
      <c r="S23" s="63"/>
      <c r="T23" s="63"/>
      <c r="W23" s="448"/>
      <c r="X23" s="58" t="s">
        <v>327</v>
      </c>
      <c r="Y23" s="47" t="s">
        <v>335</v>
      </c>
      <c r="Z23" s="58"/>
      <c r="AA23" s="445"/>
      <c r="AB23" s="58"/>
      <c r="AC23" s="447"/>
      <c r="AD23" s="447"/>
      <c r="AE23" s="447"/>
      <c r="AF23" s="445"/>
      <c r="AG23" s="445"/>
      <c r="AH23" s="445"/>
      <c r="AI23" s="445"/>
      <c r="AJ23" s="445"/>
      <c r="AK23" s="445"/>
      <c r="AL23" s="63"/>
      <c r="AM23" s="63"/>
      <c r="AN23" s="120"/>
    </row>
    <row r="24" spans="1:40">
      <c r="A24" s="242"/>
      <c r="B24" s="248" t="s">
        <v>513</v>
      </c>
      <c r="C24" s="249"/>
      <c r="D24" s="657">
        <f>E22*D18/(SUMPRODUCT(C15:C17,D15:D17))</f>
        <v>1.1837676728787594</v>
      </c>
      <c r="E24" s="63"/>
      <c r="F24" s="63"/>
      <c r="G24" s="63"/>
      <c r="H24" s="63"/>
      <c r="I24" s="63"/>
      <c r="J24" s="63"/>
      <c r="K24" s="63"/>
      <c r="L24" s="63"/>
      <c r="M24" s="63"/>
      <c r="N24" s="63"/>
      <c r="O24" s="63"/>
      <c r="P24" s="63"/>
      <c r="Q24" s="63"/>
      <c r="R24" s="63"/>
      <c r="S24" s="63"/>
      <c r="T24" s="63"/>
      <c r="W24" s="448"/>
      <c r="X24" s="58" t="s">
        <v>326</v>
      </c>
      <c r="Y24" s="47" t="s">
        <v>334</v>
      </c>
      <c r="Z24" s="58"/>
      <c r="AA24" s="445"/>
      <c r="AB24" s="58"/>
      <c r="AC24" s="447"/>
      <c r="AD24" s="447"/>
      <c r="AE24" s="447"/>
      <c r="AF24" s="445"/>
      <c r="AG24" s="445"/>
      <c r="AH24" s="445"/>
      <c r="AI24" s="445"/>
      <c r="AJ24" s="445"/>
      <c r="AK24" s="445"/>
      <c r="AL24" s="63"/>
      <c r="AM24" s="63"/>
      <c r="AN24" s="120"/>
    </row>
    <row r="25" spans="1:40" ht="13.5" thickBot="1">
      <c r="A25" s="242"/>
      <c r="B25" s="249"/>
      <c r="C25" s="249"/>
      <c r="D25" s="63"/>
      <c r="E25" s="63"/>
      <c r="F25" s="63"/>
      <c r="G25" s="63"/>
      <c r="H25" s="63"/>
      <c r="I25" s="63"/>
      <c r="J25" s="63"/>
      <c r="K25" s="63"/>
      <c r="L25" s="63"/>
      <c r="M25" s="63"/>
      <c r="N25" s="63"/>
      <c r="O25" s="63"/>
      <c r="P25" s="63"/>
      <c r="Q25" s="63"/>
      <c r="R25" s="63"/>
      <c r="S25" s="63"/>
      <c r="T25" s="63"/>
      <c r="W25" s="669"/>
      <c r="X25" s="670" t="s">
        <v>332</v>
      </c>
      <c r="Y25" s="670" t="s">
        <v>333</v>
      </c>
      <c r="Z25" s="670"/>
      <c r="AA25" s="670"/>
      <c r="AB25" s="670"/>
      <c r="AC25" s="670"/>
      <c r="AD25" s="670"/>
      <c r="AE25" s="670"/>
      <c r="AF25" s="670"/>
      <c r="AG25" s="670"/>
      <c r="AH25" s="670"/>
      <c r="AI25" s="670"/>
      <c r="AJ25" s="670"/>
      <c r="AK25" s="670"/>
      <c r="AL25" s="670"/>
      <c r="AM25" s="670"/>
      <c r="AN25" s="671"/>
    </row>
    <row r="26" spans="1:40">
      <c r="A26" s="242"/>
      <c r="B26" s="249"/>
      <c r="C26" s="249"/>
      <c r="D26" s="63"/>
      <c r="E26" s="63"/>
      <c r="F26" s="63"/>
      <c r="G26" s="63"/>
      <c r="H26" s="63"/>
      <c r="I26" s="63"/>
      <c r="J26" s="63"/>
      <c r="K26" s="63"/>
      <c r="L26" s="63"/>
      <c r="M26" s="63"/>
      <c r="N26" s="63"/>
      <c r="O26" s="63"/>
      <c r="P26" s="63"/>
      <c r="Q26" s="63"/>
      <c r="R26" s="63"/>
      <c r="S26" s="63"/>
      <c r="T26" s="63"/>
    </row>
    <row r="27" spans="1:40">
      <c r="A27" s="242"/>
      <c r="B27" s="246"/>
      <c r="C27" s="246"/>
      <c r="D27" s="63"/>
      <c r="E27" s="63"/>
      <c r="F27" s="63"/>
      <c r="G27" s="63"/>
      <c r="H27" s="63"/>
      <c r="I27" s="63"/>
      <c r="J27" s="63"/>
      <c r="K27" s="63"/>
      <c r="L27" s="63"/>
      <c r="M27" s="63"/>
      <c r="N27" s="63"/>
      <c r="O27" s="63"/>
      <c r="P27" s="63"/>
      <c r="Q27" s="63"/>
      <c r="R27" s="63"/>
      <c r="S27" s="63"/>
      <c r="T27" s="63"/>
      <c r="AG27" s="143"/>
      <c r="AH27" s="143"/>
      <c r="AI27" s="143"/>
    </row>
    <row r="28" spans="1:40">
      <c r="A28" s="242"/>
      <c r="B28" s="47"/>
      <c r="C28" s="658"/>
      <c r="D28" s="47"/>
      <c r="E28" s="47"/>
      <c r="F28" s="47"/>
      <c r="G28" s="47"/>
      <c r="H28" s="47"/>
      <c r="I28" s="47"/>
      <c r="J28" s="63"/>
      <c r="K28" s="63"/>
      <c r="L28" s="63"/>
      <c r="M28" s="63"/>
      <c r="N28" s="63"/>
      <c r="O28" s="63"/>
      <c r="P28" s="63"/>
      <c r="Q28" s="63"/>
      <c r="R28" s="63"/>
      <c r="S28" s="63"/>
      <c r="T28" s="63"/>
      <c r="X28" s="355"/>
    </row>
    <row r="29" spans="1:40" ht="15" customHeight="1">
      <c r="A29" s="242"/>
      <c r="B29" s="250"/>
      <c r="C29" s="658"/>
      <c r="D29" s="47"/>
      <c r="E29" s="47"/>
      <c r="F29" s="47"/>
      <c r="G29" s="47"/>
      <c r="H29" s="47"/>
      <c r="I29" s="47"/>
      <c r="J29" s="63"/>
      <c r="K29" s="63"/>
      <c r="L29" s="63"/>
      <c r="M29" s="63"/>
      <c r="N29" s="63"/>
      <c r="O29" s="63"/>
      <c r="P29" s="63"/>
      <c r="Q29" s="63"/>
      <c r="R29" s="63"/>
      <c r="S29" s="63"/>
      <c r="T29" s="63"/>
      <c r="Y29" s="143"/>
      <c r="Z29" s="143"/>
      <c r="AA29" s="143"/>
      <c r="AB29" s="143"/>
      <c r="AC29" s="143"/>
      <c r="AD29" s="143"/>
      <c r="AE29" s="143"/>
      <c r="AF29" s="143"/>
    </row>
    <row r="30" spans="1:40">
      <c r="A30" s="242"/>
      <c r="B30" s="249"/>
      <c r="C30" s="249"/>
      <c r="D30" s="96"/>
      <c r="E30" s="96"/>
      <c r="F30" s="96"/>
      <c r="G30" s="96"/>
      <c r="H30" s="96"/>
      <c r="I30" s="96"/>
      <c r="J30" s="96"/>
      <c r="K30" s="96"/>
      <c r="L30" s="96"/>
      <c r="M30" s="96"/>
      <c r="N30" s="96"/>
      <c r="O30" s="96"/>
      <c r="P30" s="96"/>
      <c r="Q30" s="96"/>
      <c r="R30" s="96"/>
      <c r="S30" s="96"/>
      <c r="T30" s="96"/>
    </row>
    <row r="31" spans="1:40">
      <c r="A31" s="242"/>
      <c r="B31" s="249"/>
      <c r="C31" s="249"/>
      <c r="D31" s="96"/>
      <c r="E31" s="96"/>
      <c r="F31" s="96"/>
      <c r="G31" s="96"/>
      <c r="H31" s="96"/>
      <c r="I31" s="96"/>
      <c r="J31" s="96"/>
      <c r="K31" s="96"/>
      <c r="L31" s="96"/>
      <c r="M31" s="96"/>
      <c r="N31" s="96"/>
      <c r="O31" s="96"/>
      <c r="P31" s="96"/>
      <c r="Q31" s="96"/>
      <c r="R31" s="96"/>
      <c r="S31" s="96"/>
      <c r="T31" s="96"/>
      <c r="X31" s="357"/>
    </row>
    <row r="32" spans="1:40">
      <c r="A32" s="242"/>
      <c r="B32" s="249"/>
      <c r="C32" s="249"/>
      <c r="D32" s="96"/>
      <c r="E32" s="96"/>
      <c r="F32" s="96"/>
      <c r="G32" s="96"/>
      <c r="H32" s="96"/>
      <c r="I32" s="96"/>
      <c r="J32" s="96"/>
      <c r="K32" s="96"/>
      <c r="L32" s="96"/>
      <c r="M32" s="96"/>
      <c r="N32" s="96"/>
      <c r="O32" s="96"/>
      <c r="P32" s="96"/>
      <c r="Q32" s="96"/>
      <c r="R32" s="96"/>
      <c r="S32" s="96"/>
      <c r="T32" s="96"/>
    </row>
    <row r="33" spans="1:40">
      <c r="A33" s="242"/>
      <c r="B33" s="246"/>
      <c r="C33" s="246"/>
      <c r="D33" s="96"/>
      <c r="E33" s="96"/>
      <c r="F33" s="96"/>
      <c r="G33" s="96"/>
      <c r="H33" s="96"/>
      <c r="I33" s="96"/>
      <c r="J33" s="96"/>
      <c r="K33" s="96"/>
      <c r="L33" s="96"/>
      <c r="M33" s="96"/>
      <c r="N33" s="96"/>
      <c r="O33" s="96"/>
      <c r="P33" s="96"/>
      <c r="Q33" s="96"/>
      <c r="R33" s="96"/>
      <c r="S33" s="96"/>
      <c r="T33" s="96"/>
    </row>
    <row r="34" spans="1:40">
      <c r="A34" s="242"/>
      <c r="B34" s="249"/>
      <c r="C34" s="249"/>
      <c r="D34" s="96"/>
      <c r="E34" s="96"/>
      <c r="F34" s="96"/>
      <c r="G34" s="96"/>
      <c r="H34" s="96"/>
      <c r="I34" s="96"/>
      <c r="J34" s="96"/>
      <c r="K34" s="96"/>
      <c r="L34" s="96"/>
      <c r="M34" s="96"/>
      <c r="N34" s="96"/>
      <c r="O34" s="96"/>
      <c r="P34" s="96"/>
      <c r="Q34" s="96"/>
      <c r="R34" s="96"/>
      <c r="S34" s="96"/>
      <c r="T34" s="96"/>
      <c r="W34" s="352"/>
      <c r="X34" s="353"/>
      <c r="Y34" s="353"/>
      <c r="Z34" s="353"/>
      <c r="AA34" s="353"/>
      <c r="AB34" s="353"/>
      <c r="AC34" s="353"/>
      <c r="AI34" s="353"/>
      <c r="AJ34" s="353"/>
      <c r="AK34" s="353"/>
      <c r="AL34" s="353"/>
      <c r="AM34" s="353"/>
      <c r="AN34" s="353"/>
    </row>
    <row r="35" spans="1:40">
      <c r="A35" s="159"/>
    </row>
    <row r="36" spans="1:40">
      <c r="A36" s="159"/>
    </row>
    <row r="37" spans="1:40">
      <c r="A37" s="159"/>
    </row>
    <row r="38" spans="1:40">
      <c r="A38" s="159"/>
    </row>
    <row r="39" spans="1:40">
      <c r="A39" s="159"/>
    </row>
    <row r="40" spans="1:40">
      <c r="A40" s="159"/>
    </row>
    <row r="41" spans="1:40">
      <c r="A41" s="159"/>
    </row>
    <row r="42" spans="1:40">
      <c r="A42" s="159"/>
    </row>
    <row r="43" spans="1:40">
      <c r="A43" s="159"/>
    </row>
    <row r="44" spans="1:40">
      <c r="A44" s="159"/>
    </row>
    <row r="45" spans="1:40">
      <c r="A45" s="159"/>
    </row>
    <row r="46" spans="1:40">
      <c r="A46" s="159"/>
    </row>
    <row r="47" spans="1:40">
      <c r="A47" s="159"/>
    </row>
    <row r="49" spans="20:34">
      <c r="X49" s="354"/>
    </row>
    <row r="53" spans="20:34">
      <c r="T53" s="220"/>
      <c r="U53" s="96"/>
      <c r="W53" s="356"/>
    </row>
    <row r="54" spans="20:34">
      <c r="T54" s="220"/>
      <c r="U54" s="106"/>
      <c r="X54" s="358"/>
    </row>
    <row r="55" spans="20:34">
      <c r="T55" s="220"/>
      <c r="U55" s="106"/>
      <c r="X55" s="358"/>
      <c r="AG55" s="220"/>
      <c r="AH55" s="106"/>
    </row>
    <row r="56" spans="20:34" ht="16.5" customHeight="1">
      <c r="X56" s="358"/>
      <c r="AG56" s="220"/>
      <c r="AH56" s="106"/>
    </row>
  </sheetData>
  <mergeCells count="1">
    <mergeCell ref="AK1:AL1"/>
  </mergeCells>
  <hyperlinks>
    <hyperlink ref="G31" r:id="rId1" display="http://EDRMS1/SilentOne/Amphora!~~EDRMS1~PD~PD_CC~PD_CC_Twelve~PD_CC_Twelve_Five~PD_CC_Twelve_Five_Three~000001079804.msg "/>
    <hyperlink ref="H31" r:id="rId2" display="http://EDRMS1/SilentOne/Amphora!~~EDRMS1~PD~PD_CC~PD_CC_Twelve~PD_CC_Twelve_Five~PD_CC_Twelve_Five_Three~000001079804.msg "/>
  </hyperlinks>
  <pageMargins left="0.74803149606299213" right="0.74803149606299213" top="0.98425196850393704" bottom="0.98425196850393704" header="0.51181102362204722" footer="0.51181102362204722"/>
  <pageSetup paperSize="8" scale="62" orientation="landscape" r:id="rId3"/>
  <headerFooter alignWithMargins="0"/>
  <drawing r:id="rId4"/>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pageSetUpPr fitToPage="1"/>
  </sheetPr>
  <dimension ref="A1:V43"/>
  <sheetViews>
    <sheetView zoomScale="80" zoomScaleNormal="80" workbookViewId="0">
      <selection activeCell="T7" sqref="T7"/>
    </sheetView>
  </sheetViews>
  <sheetFormatPr defaultColWidth="9.140625" defaultRowHeight="15"/>
  <cols>
    <col min="1" max="1" width="61" style="161" customWidth="1"/>
    <col min="2" max="2" width="13.42578125" style="161" customWidth="1"/>
    <col min="3" max="5" width="15" style="161" customWidth="1"/>
    <col min="6" max="6" width="12.85546875" style="161" customWidth="1"/>
    <col min="7" max="7" width="14.140625" style="161" customWidth="1"/>
    <col min="8" max="15" width="9.140625" style="161"/>
    <col min="16" max="16" width="11.5703125" style="161" customWidth="1"/>
    <col min="17" max="17" width="11" style="161" customWidth="1"/>
    <col min="18" max="16384" width="9.140625" style="161"/>
  </cols>
  <sheetData>
    <row r="1" spans="1:22">
      <c r="A1" s="449" t="s">
        <v>289</v>
      </c>
      <c r="B1" s="449"/>
      <c r="C1" s="449"/>
      <c r="D1" s="160"/>
      <c r="E1" s="160"/>
      <c r="F1" s="160"/>
    </row>
    <row r="2" spans="1:22">
      <c r="A2"/>
      <c r="B2"/>
      <c r="C2"/>
      <c r="D2"/>
      <c r="E2"/>
      <c r="F2"/>
    </row>
    <row r="3" spans="1:22">
      <c r="A3" s="162" t="s">
        <v>290</v>
      </c>
      <c r="B3" s="162"/>
      <c r="C3" s="162"/>
      <c r="D3" s="162"/>
      <c r="E3" s="162"/>
      <c r="F3" s="162"/>
    </row>
    <row r="4" spans="1:22">
      <c r="A4" s="162" t="s">
        <v>442</v>
      </c>
      <c r="B4" s="162"/>
      <c r="C4" s="162"/>
      <c r="D4" s="162"/>
      <c r="E4" s="162"/>
      <c r="F4" s="162"/>
    </row>
    <row r="5" spans="1:22">
      <c r="A5" s="163"/>
      <c r="B5" s="163"/>
      <c r="D5" s="163"/>
      <c r="E5" s="163"/>
      <c r="F5" s="163"/>
    </row>
    <row r="6" spans="1:22">
      <c r="A6" s="362"/>
      <c r="B6" s="163" t="s">
        <v>291</v>
      </c>
      <c r="C6" s="362"/>
      <c r="D6" s="363"/>
      <c r="E6" s="363"/>
      <c r="F6" s="362"/>
      <c r="G6" s="364"/>
      <c r="H6" s="364"/>
      <c r="I6" s="362"/>
      <c r="J6" s="364"/>
      <c r="K6" s="364"/>
      <c r="L6" s="362"/>
      <c r="M6" s="364"/>
      <c r="N6" s="364"/>
      <c r="O6" s="362"/>
      <c r="P6" s="363"/>
      <c r="Q6" s="363"/>
      <c r="R6" s="365"/>
      <c r="S6" s="365"/>
    </row>
    <row r="7" spans="1:22" ht="73.5">
      <c r="A7" s="705" t="s">
        <v>292</v>
      </c>
      <c r="B7" s="705" t="s">
        <v>433</v>
      </c>
      <c r="C7" s="706" t="s">
        <v>434</v>
      </c>
      <c r="D7" s="706" t="s">
        <v>435</v>
      </c>
      <c r="E7" s="705" t="s">
        <v>293</v>
      </c>
      <c r="F7" s="706" t="s">
        <v>436</v>
      </c>
      <c r="G7" s="706" t="s">
        <v>437</v>
      </c>
      <c r="H7" s="705" t="s">
        <v>294</v>
      </c>
      <c r="I7" s="706" t="s">
        <v>295</v>
      </c>
      <c r="J7" s="706" t="s">
        <v>296</v>
      </c>
      <c r="K7" s="705" t="s">
        <v>297</v>
      </c>
      <c r="L7" s="706" t="s">
        <v>353</v>
      </c>
      <c r="M7" s="706" t="s">
        <v>354</v>
      </c>
      <c r="N7" s="705" t="s">
        <v>352</v>
      </c>
      <c r="O7" s="706" t="s">
        <v>355</v>
      </c>
      <c r="P7" s="706" t="s">
        <v>356</v>
      </c>
      <c r="Q7" s="705" t="s">
        <v>351</v>
      </c>
      <c r="R7" s="706" t="s">
        <v>357</v>
      </c>
      <c r="S7" s="706" t="s">
        <v>358</v>
      </c>
      <c r="T7" s="707" t="s">
        <v>438</v>
      </c>
      <c r="U7" s="707" t="s">
        <v>439</v>
      </c>
      <c r="V7" s="707" t="s">
        <v>440</v>
      </c>
    </row>
    <row r="8" spans="1:22">
      <c r="A8" s="521" t="s">
        <v>298</v>
      </c>
      <c r="B8" s="521"/>
      <c r="C8" s="521"/>
      <c r="D8" s="521"/>
      <c r="E8" s="522"/>
      <c r="F8" s="521"/>
      <c r="G8" s="521"/>
      <c r="H8" s="522"/>
      <c r="I8" s="522"/>
      <c r="J8" s="522"/>
      <c r="K8" s="522"/>
      <c r="L8" s="522"/>
      <c r="M8" s="522"/>
      <c r="N8" s="522"/>
      <c r="O8" s="523"/>
      <c r="P8" s="522"/>
      <c r="Q8" s="522"/>
      <c r="R8" s="522"/>
      <c r="S8" s="522"/>
      <c r="T8" s="522"/>
      <c r="U8" s="522"/>
      <c r="V8" s="522"/>
    </row>
    <row r="9" spans="1:22">
      <c r="A9" s="524" t="s">
        <v>299</v>
      </c>
      <c r="B9" s="524">
        <v>923</v>
      </c>
      <c r="C9" s="522"/>
      <c r="D9" s="522"/>
      <c r="E9" s="522">
        <v>979</v>
      </c>
      <c r="F9" s="522"/>
      <c r="G9" s="522"/>
      <c r="H9" s="522">
        <v>514</v>
      </c>
      <c r="I9" s="522"/>
      <c r="J9" s="522"/>
      <c r="K9" s="522">
        <v>863</v>
      </c>
      <c r="L9" s="522"/>
      <c r="M9" s="522"/>
      <c r="N9" s="525">
        <v>785</v>
      </c>
      <c r="O9" s="526"/>
      <c r="P9" s="522"/>
      <c r="Q9" s="523">
        <v>958</v>
      </c>
      <c r="R9" s="522"/>
      <c r="S9" s="522"/>
      <c r="T9" s="522"/>
      <c r="U9" s="522"/>
      <c r="V9" s="522"/>
    </row>
    <row r="10" spans="1:22">
      <c r="A10" s="524" t="s">
        <v>300</v>
      </c>
      <c r="B10" s="524">
        <v>8</v>
      </c>
      <c r="C10" s="522"/>
      <c r="D10" s="527">
        <f>B10/D32</f>
        <v>1.5296367112810707E-2</v>
      </c>
      <c r="E10" s="522">
        <v>17</v>
      </c>
      <c r="F10" s="522"/>
      <c r="G10" s="527">
        <f>E10/G32</f>
        <v>2.9059829059829061E-2</v>
      </c>
      <c r="H10" s="522">
        <v>20</v>
      </c>
      <c r="I10" s="522"/>
      <c r="J10" s="527">
        <f>H10/J32</f>
        <v>3.8684719535783368E-2</v>
      </c>
      <c r="K10" s="522">
        <v>75</v>
      </c>
      <c r="L10" s="522"/>
      <c r="M10" s="527">
        <f>K10/M32</f>
        <v>0.12135922330097088</v>
      </c>
      <c r="N10" s="525">
        <v>97</v>
      </c>
      <c r="O10" s="522"/>
      <c r="P10" s="527">
        <f>N10/P32</f>
        <v>0.30990415335463256</v>
      </c>
      <c r="Q10" s="523">
        <v>31</v>
      </c>
      <c r="R10" s="522"/>
      <c r="S10" s="527">
        <f>Q10/S32</f>
        <v>0.14027149321266968</v>
      </c>
      <c r="T10" s="528">
        <f>(B10+E10+H10++K10+N10+Q10)/(6)</f>
        <v>41.333333333333336</v>
      </c>
      <c r="U10" s="522"/>
      <c r="V10" s="527">
        <f>T10/V32</f>
        <v>8.9305005401512427E-2</v>
      </c>
    </row>
    <row r="11" spans="1:22">
      <c r="A11" s="524" t="s">
        <v>301</v>
      </c>
      <c r="B11" s="524">
        <v>915</v>
      </c>
      <c r="C11" s="527">
        <f>B11/C32</f>
        <v>0.1050275482093664</v>
      </c>
      <c r="D11" s="527"/>
      <c r="E11" s="522">
        <v>962</v>
      </c>
      <c r="F11" s="527">
        <f>E11/F32</f>
        <v>0.11934003225406277</v>
      </c>
      <c r="G11" s="527"/>
      <c r="H11" s="522">
        <v>494</v>
      </c>
      <c r="I11" s="527">
        <f>H11/I32</f>
        <v>5.1490514905149054E-2</v>
      </c>
      <c r="J11" s="527"/>
      <c r="K11" s="522">
        <v>788</v>
      </c>
      <c r="L11" s="527">
        <f>K11/L32</f>
        <v>9.1056159001617745E-2</v>
      </c>
      <c r="M11" s="527"/>
      <c r="N11" s="525">
        <v>688</v>
      </c>
      <c r="O11" s="527">
        <f>N11/O32</f>
        <v>7.3590758369879133E-2</v>
      </c>
      <c r="P11" s="527"/>
      <c r="Q11" s="523">
        <v>927</v>
      </c>
      <c r="R11" s="527">
        <f>Q11/R32</f>
        <v>9.1882247992863514E-2</v>
      </c>
      <c r="S11" s="527"/>
      <c r="T11" s="529">
        <f>(B11+E11+H11+K11+N11+Q11)/(6)</f>
        <v>795.66666666666663</v>
      </c>
      <c r="U11" s="527">
        <f>T11/U32</f>
        <v>8.7662278044033121E-2</v>
      </c>
      <c r="V11" s="527"/>
    </row>
    <row r="12" spans="1:22">
      <c r="A12" s="521" t="s">
        <v>302</v>
      </c>
      <c r="B12" s="521"/>
      <c r="C12" s="522"/>
      <c r="D12" s="522"/>
      <c r="E12" s="522"/>
      <c r="F12" s="522"/>
      <c r="G12" s="522"/>
      <c r="H12" s="522"/>
      <c r="I12" s="522"/>
      <c r="J12" s="522"/>
      <c r="K12" s="522"/>
      <c r="L12" s="522"/>
      <c r="M12" s="522"/>
      <c r="N12" s="530"/>
      <c r="O12" s="522"/>
      <c r="P12" s="522"/>
      <c r="Q12" s="523"/>
      <c r="R12" s="522"/>
      <c r="S12" s="522"/>
      <c r="T12" s="531"/>
      <c r="U12" s="522"/>
      <c r="V12" s="522"/>
    </row>
    <row r="13" spans="1:22">
      <c r="A13" s="524" t="s">
        <v>299</v>
      </c>
      <c r="B13" s="524">
        <v>787</v>
      </c>
      <c r="C13" s="522"/>
      <c r="D13" s="522"/>
      <c r="E13" s="522">
        <v>401</v>
      </c>
      <c r="F13" s="522"/>
      <c r="G13" s="522"/>
      <c r="H13" s="522">
        <v>424</v>
      </c>
      <c r="I13" s="522"/>
      <c r="J13" s="522"/>
      <c r="K13" s="522">
        <v>117</v>
      </c>
      <c r="L13" s="522"/>
      <c r="M13" s="522"/>
      <c r="N13" s="525">
        <v>32</v>
      </c>
      <c r="O13" s="522"/>
      <c r="P13" s="522"/>
      <c r="Q13" s="523">
        <v>327</v>
      </c>
      <c r="R13" s="522"/>
      <c r="S13" s="522"/>
      <c r="T13" s="532"/>
      <c r="U13" s="533"/>
      <c r="V13" s="522"/>
    </row>
    <row r="14" spans="1:22">
      <c r="A14" s="524" t="s">
        <v>300</v>
      </c>
      <c r="B14" s="524">
        <v>0</v>
      </c>
      <c r="C14" s="522"/>
      <c r="D14" s="534">
        <f>B14/D32</f>
        <v>0</v>
      </c>
      <c r="E14" s="522">
        <v>0</v>
      </c>
      <c r="F14" s="522"/>
      <c r="G14" s="534">
        <f>E14/G32</f>
        <v>0</v>
      </c>
      <c r="H14" s="522">
        <v>19</v>
      </c>
      <c r="I14" s="522"/>
      <c r="J14" s="535">
        <f>H14/J32</f>
        <v>3.6750483558994199E-2</v>
      </c>
      <c r="K14" s="522">
        <v>6</v>
      </c>
      <c r="L14" s="522"/>
      <c r="M14" s="535">
        <f>K14/M32</f>
        <v>9.7087378640776691E-3</v>
      </c>
      <c r="N14" s="525">
        <v>0</v>
      </c>
      <c r="O14" s="522"/>
      <c r="P14" s="534">
        <f>N14/P32</f>
        <v>0</v>
      </c>
      <c r="Q14" s="523">
        <v>1</v>
      </c>
      <c r="R14" s="522"/>
      <c r="S14" s="535">
        <f>Q14/S32</f>
        <v>4.5248868778280547E-3</v>
      </c>
      <c r="T14" s="536">
        <f>(B14+E14+H14+K14+N14+Q14)/(6)</f>
        <v>4.333333333333333</v>
      </c>
      <c r="U14" s="522"/>
      <c r="V14" s="535"/>
    </row>
    <row r="15" spans="1:22">
      <c r="A15" s="524" t="s">
        <v>301</v>
      </c>
      <c r="B15" s="524">
        <v>787</v>
      </c>
      <c r="C15" s="537">
        <f>B15/C32</f>
        <v>9.0335169880624427E-2</v>
      </c>
      <c r="D15" s="522"/>
      <c r="E15" s="522">
        <v>401</v>
      </c>
      <c r="F15" s="537">
        <f>E15/F32</f>
        <v>4.9745689120456522E-2</v>
      </c>
      <c r="G15" s="522"/>
      <c r="H15" s="522">
        <v>405</v>
      </c>
      <c r="I15" s="537">
        <f>H15/I32</f>
        <v>4.2213883677298308E-2</v>
      </c>
      <c r="J15" s="522"/>
      <c r="K15" s="522">
        <v>111</v>
      </c>
      <c r="L15" s="537">
        <f>K15/L32</f>
        <v>1.2826438641090825E-2</v>
      </c>
      <c r="M15" s="522"/>
      <c r="N15" s="525">
        <v>32</v>
      </c>
      <c r="O15" s="537">
        <f>N15/O32</f>
        <v>3.4228259706920528E-3</v>
      </c>
      <c r="P15" s="522"/>
      <c r="Q15" s="523">
        <v>326</v>
      </c>
      <c r="R15" s="537">
        <f>Q15/R32</f>
        <v>3.2312419466745963E-2</v>
      </c>
      <c r="S15" s="522"/>
      <c r="T15" s="538">
        <f>(B15+E15+H15+K15+N15+Q15)/(6)</f>
        <v>343.66666666666669</v>
      </c>
      <c r="U15" s="537"/>
      <c r="V15" s="522"/>
    </row>
    <row r="16" spans="1:22">
      <c r="A16" s="521" t="s">
        <v>303</v>
      </c>
      <c r="B16" s="521"/>
      <c r="C16" s="522"/>
      <c r="D16" s="522"/>
      <c r="E16" s="522"/>
      <c r="F16" s="522"/>
      <c r="G16" s="522"/>
      <c r="H16" s="522"/>
      <c r="I16" s="522"/>
      <c r="J16" s="522"/>
      <c r="K16" s="522"/>
      <c r="L16" s="522"/>
      <c r="M16" s="522"/>
      <c r="N16" s="530"/>
      <c r="O16" s="522"/>
      <c r="P16" s="522"/>
      <c r="Q16" s="523"/>
      <c r="R16" s="522"/>
      <c r="S16" s="522"/>
      <c r="T16" s="539"/>
      <c r="U16" s="522"/>
      <c r="V16" s="522"/>
    </row>
    <row r="17" spans="1:22">
      <c r="A17" s="524" t="s">
        <v>299</v>
      </c>
      <c r="B17" s="524">
        <v>4057</v>
      </c>
      <c r="C17" s="540"/>
      <c r="D17" s="540"/>
      <c r="E17" s="540">
        <v>2881</v>
      </c>
      <c r="F17" s="540"/>
      <c r="G17" s="540"/>
      <c r="H17" s="540">
        <v>4171</v>
      </c>
      <c r="I17" s="540"/>
      <c r="J17" s="540"/>
      <c r="K17" s="540">
        <v>3773</v>
      </c>
      <c r="L17" s="540"/>
      <c r="M17" s="540"/>
      <c r="N17" s="541">
        <v>4469</v>
      </c>
      <c r="O17" s="540"/>
      <c r="P17" s="540"/>
      <c r="Q17" s="542">
        <v>3836</v>
      </c>
      <c r="R17" s="540"/>
      <c r="S17" s="540"/>
      <c r="T17" s="539"/>
      <c r="U17" s="540"/>
      <c r="V17" s="540"/>
    </row>
    <row r="18" spans="1:22">
      <c r="A18" s="524" t="s">
        <v>300</v>
      </c>
      <c r="B18" s="524">
        <v>31</v>
      </c>
      <c r="C18" s="522"/>
      <c r="D18" s="537">
        <f>B18/D32</f>
        <v>5.9273422562141492E-2</v>
      </c>
      <c r="E18" s="522">
        <v>76</v>
      </c>
      <c r="F18" s="522"/>
      <c r="G18" s="537">
        <f>E18/G32</f>
        <v>0.12991452991452992</v>
      </c>
      <c r="H18" s="522">
        <v>76</v>
      </c>
      <c r="I18" s="522"/>
      <c r="J18" s="537">
        <f>H18/J32</f>
        <v>0.14700193423597679</v>
      </c>
      <c r="K18" s="522">
        <v>70</v>
      </c>
      <c r="L18" s="522"/>
      <c r="M18" s="537">
        <f>K18/M32</f>
        <v>0.11326860841423948</v>
      </c>
      <c r="N18" s="525">
        <v>31</v>
      </c>
      <c r="O18" s="522"/>
      <c r="P18" s="537">
        <f>N18/P32</f>
        <v>9.9041533546325874E-2</v>
      </c>
      <c r="Q18" s="523">
        <v>18</v>
      </c>
      <c r="R18" s="522"/>
      <c r="S18" s="537">
        <f>Q18/S32</f>
        <v>8.1447963800904979E-2</v>
      </c>
      <c r="T18" s="528">
        <f>(B18+E18+H18+K18+N18+Q18)/(6)</f>
        <v>50.333333333333336</v>
      </c>
      <c r="U18" s="522"/>
      <c r="V18" s="537"/>
    </row>
    <row r="19" spans="1:22">
      <c r="A19" s="524" t="s">
        <v>301</v>
      </c>
      <c r="B19" s="524">
        <v>4026</v>
      </c>
      <c r="C19" s="537">
        <f>B19/C32</f>
        <v>0.4621212121212121</v>
      </c>
      <c r="D19" s="540"/>
      <c r="E19" s="540">
        <v>2805</v>
      </c>
      <c r="F19" s="537">
        <f>E19/F32</f>
        <v>0.34797171566803126</v>
      </c>
      <c r="G19" s="540"/>
      <c r="H19" s="540">
        <v>4095</v>
      </c>
      <c r="I19" s="537">
        <f>H19/I32</f>
        <v>0.42682926829268292</v>
      </c>
      <c r="J19" s="540"/>
      <c r="K19" s="540">
        <v>3703</v>
      </c>
      <c r="L19" s="537">
        <f>K19/L32</f>
        <v>0.42789461520684074</v>
      </c>
      <c r="M19" s="540"/>
      <c r="N19" s="541">
        <v>4438</v>
      </c>
      <c r="O19" s="537">
        <f>N19/O32</f>
        <v>0.47470317681035407</v>
      </c>
      <c r="P19" s="540"/>
      <c r="Q19" s="542">
        <v>3818</v>
      </c>
      <c r="R19" s="537">
        <f>Q19/R32</f>
        <v>0.37843195559520271</v>
      </c>
      <c r="S19" s="540"/>
      <c r="T19" s="538">
        <f>(B19+E19+H19+K19+N19+Q19)/(6)</f>
        <v>3814.1666666666665</v>
      </c>
      <c r="U19" s="543"/>
      <c r="V19" s="540"/>
    </row>
    <row r="20" spans="1:22">
      <c r="A20" s="521" t="s">
        <v>304</v>
      </c>
      <c r="B20" s="521"/>
      <c r="C20" s="522"/>
      <c r="D20" s="522"/>
      <c r="E20" s="522"/>
      <c r="F20" s="522"/>
      <c r="G20" s="522"/>
      <c r="H20" s="522"/>
      <c r="I20" s="522"/>
      <c r="J20" s="522"/>
      <c r="K20" s="522"/>
      <c r="L20" s="522"/>
      <c r="M20" s="522"/>
      <c r="N20" s="530"/>
      <c r="O20" s="522"/>
      <c r="P20" s="522"/>
      <c r="Q20" s="523"/>
      <c r="R20" s="522"/>
      <c r="S20" s="522"/>
      <c r="T20" s="539"/>
      <c r="U20" s="86"/>
      <c r="V20" s="535">
        <f>(T14+T18+T22+T26)/(V32)</f>
        <v>0.3633417356859921</v>
      </c>
    </row>
    <row r="21" spans="1:22">
      <c r="A21" s="524" t="s">
        <v>299</v>
      </c>
      <c r="B21" s="524">
        <v>2286</v>
      </c>
      <c r="C21" s="540"/>
      <c r="D21" s="540"/>
      <c r="E21" s="522">
        <v>2459</v>
      </c>
      <c r="F21" s="540"/>
      <c r="G21" s="540"/>
      <c r="H21" s="540">
        <v>2588</v>
      </c>
      <c r="I21" s="540"/>
      <c r="J21" s="540"/>
      <c r="K21" s="540">
        <v>2068</v>
      </c>
      <c r="L21" s="540"/>
      <c r="M21" s="540"/>
      <c r="N21" s="541">
        <v>2446</v>
      </c>
      <c r="O21" s="540"/>
      <c r="P21" s="540"/>
      <c r="Q21" s="542">
        <v>2913</v>
      </c>
      <c r="R21" s="540"/>
      <c r="S21" s="540"/>
      <c r="T21" s="539"/>
      <c r="U21" s="544">
        <f>(T15+T19+T23+T27)/(U32)</f>
        <v>0.72676692557703959</v>
      </c>
      <c r="V21" s="540"/>
    </row>
    <row r="22" spans="1:22">
      <c r="A22" s="524" t="s">
        <v>300</v>
      </c>
      <c r="B22" s="524">
        <v>109</v>
      </c>
      <c r="C22" s="522"/>
      <c r="D22" s="527">
        <f>B22/D32</f>
        <v>0.2084130019120459</v>
      </c>
      <c r="E22" s="522">
        <v>95</v>
      </c>
      <c r="F22" s="522"/>
      <c r="G22" s="527">
        <f>E22/G32</f>
        <v>0.1623931623931624</v>
      </c>
      <c r="H22" s="522">
        <v>107</v>
      </c>
      <c r="I22" s="522"/>
      <c r="J22" s="527">
        <f>H22/J32</f>
        <v>0.20696324951644102</v>
      </c>
      <c r="K22" s="522">
        <v>95</v>
      </c>
      <c r="L22" s="522"/>
      <c r="M22" s="527">
        <f>K22/M32</f>
        <v>0.15372168284789645</v>
      </c>
      <c r="N22" s="525">
        <v>25</v>
      </c>
      <c r="O22" s="522"/>
      <c r="P22" s="527">
        <f>N22/P32</f>
        <v>7.9872204472843447E-2</v>
      </c>
      <c r="Q22" s="523">
        <v>9</v>
      </c>
      <c r="R22" s="522"/>
      <c r="S22" s="527">
        <f>Q22/S32</f>
        <v>4.072398190045249E-2</v>
      </c>
      <c r="T22" s="528">
        <f>(B22+E22+H22+K22+N22+Q22)/(6)</f>
        <v>73.333333333333329</v>
      </c>
      <c r="U22" s="522"/>
      <c r="V22" s="527"/>
    </row>
    <row r="23" spans="1:22">
      <c r="A23" s="524" t="s">
        <v>301</v>
      </c>
      <c r="B23" s="524">
        <v>217</v>
      </c>
      <c r="C23" s="545">
        <f>B23/C32</f>
        <v>2.4908172635445362E-2</v>
      </c>
      <c r="D23" s="527"/>
      <c r="E23" s="522">
        <v>2364</v>
      </c>
      <c r="F23" s="545">
        <f>E23/F32</f>
        <v>0.29326386304428731</v>
      </c>
      <c r="G23" s="527"/>
      <c r="H23" s="540">
        <v>2481</v>
      </c>
      <c r="I23" s="545">
        <f>H23/I32</f>
        <v>0.25859912445278299</v>
      </c>
      <c r="J23" s="527"/>
      <c r="K23" s="540">
        <v>1973</v>
      </c>
      <c r="L23" s="545">
        <f>K23/L32</f>
        <v>0.22798705800785765</v>
      </c>
      <c r="M23" s="527"/>
      <c r="N23" s="541">
        <v>2421</v>
      </c>
      <c r="O23" s="545">
        <f>N23/O32</f>
        <v>0.25895817734517063</v>
      </c>
      <c r="P23" s="527"/>
      <c r="Q23" s="542">
        <v>2904</v>
      </c>
      <c r="R23" s="545">
        <f>Q23/R32</f>
        <v>0.28783823966696404</v>
      </c>
      <c r="S23" s="527"/>
      <c r="T23" s="546">
        <f>(B23+E23+H23+K23+N23+Q23)/(6)</f>
        <v>2060</v>
      </c>
      <c r="U23" s="545"/>
      <c r="V23" s="527"/>
    </row>
    <row r="24" spans="1:22">
      <c r="A24" s="521" t="s">
        <v>305</v>
      </c>
      <c r="B24" s="521"/>
      <c r="C24" s="522"/>
      <c r="D24" s="522"/>
      <c r="E24" s="522"/>
      <c r="F24" s="522"/>
      <c r="G24" s="522"/>
      <c r="H24" s="522"/>
      <c r="I24" s="522"/>
      <c r="J24" s="522"/>
      <c r="K24" s="522"/>
      <c r="L24" s="522"/>
      <c r="M24" s="522"/>
      <c r="N24" s="547"/>
      <c r="O24" s="522"/>
      <c r="P24" s="522"/>
      <c r="Q24" s="526"/>
      <c r="R24" s="522"/>
      <c r="S24" s="522"/>
      <c r="T24" s="522"/>
      <c r="U24" s="522"/>
      <c r="V24" s="522"/>
    </row>
    <row r="25" spans="1:22">
      <c r="A25" s="524" t="s">
        <v>299</v>
      </c>
      <c r="B25" s="524">
        <v>752</v>
      </c>
      <c r="C25" s="522"/>
      <c r="D25" s="522"/>
      <c r="E25" s="522">
        <v>401</v>
      </c>
      <c r="F25" s="522"/>
      <c r="G25" s="522"/>
      <c r="H25" s="522">
        <v>593</v>
      </c>
      <c r="I25" s="522"/>
      <c r="J25" s="522"/>
      <c r="K25" s="522">
        <v>280</v>
      </c>
      <c r="L25" s="522"/>
      <c r="M25" s="522"/>
      <c r="N25" s="525">
        <v>240</v>
      </c>
      <c r="O25" s="522"/>
      <c r="P25" s="522"/>
      <c r="Q25" s="523">
        <v>247</v>
      </c>
      <c r="R25" s="522"/>
      <c r="S25" s="522"/>
      <c r="T25" s="522"/>
      <c r="U25" s="522"/>
      <c r="V25" s="522"/>
    </row>
    <row r="26" spans="1:22">
      <c r="A26" s="524" t="s">
        <v>300</v>
      </c>
      <c r="B26" s="524">
        <v>75</v>
      </c>
      <c r="C26" s="522"/>
      <c r="D26" s="537">
        <f>B26/D32</f>
        <v>0.14340344168260039</v>
      </c>
      <c r="E26" s="522">
        <v>67</v>
      </c>
      <c r="F26" s="522"/>
      <c r="G26" s="537">
        <f>E26/G32</f>
        <v>0.11452991452991453</v>
      </c>
      <c r="H26" s="522">
        <v>38</v>
      </c>
      <c r="I26" s="522"/>
      <c r="J26" s="537">
        <f>H26/J32</f>
        <v>7.3500967117988397E-2</v>
      </c>
      <c r="K26" s="522">
        <v>22</v>
      </c>
      <c r="L26" s="522"/>
      <c r="M26" s="537">
        <f>K26/M32</f>
        <v>3.5598705501618123E-2</v>
      </c>
      <c r="N26" s="525">
        <v>35</v>
      </c>
      <c r="O26" s="522"/>
      <c r="P26" s="537">
        <f>N26/P32</f>
        <v>0.11182108626198083</v>
      </c>
      <c r="Q26" s="523">
        <v>4</v>
      </c>
      <c r="R26" s="522"/>
      <c r="S26" s="537">
        <f>Q26/S32</f>
        <v>1.8099547511312219E-2</v>
      </c>
      <c r="T26" s="528">
        <f>(B26+E26+H26+K26+N26+Q26)/(6)</f>
        <v>40.166666666666664</v>
      </c>
      <c r="U26" s="522"/>
      <c r="V26" s="537"/>
    </row>
    <row r="27" spans="1:22">
      <c r="A27" s="524" t="s">
        <v>301</v>
      </c>
      <c r="B27" s="524">
        <v>677</v>
      </c>
      <c r="C27" s="537">
        <f>B27/C32</f>
        <v>7.7708907254361803E-2</v>
      </c>
      <c r="D27" s="522"/>
      <c r="E27" s="522">
        <v>334</v>
      </c>
      <c r="F27" s="537">
        <f>E27/F32</f>
        <v>4.1434065252450067E-2</v>
      </c>
      <c r="G27" s="522"/>
      <c r="H27" s="522">
        <v>555</v>
      </c>
      <c r="I27" s="537">
        <f>H27/I32</f>
        <v>5.7848655409631022E-2</v>
      </c>
      <c r="J27" s="522"/>
      <c r="K27" s="522">
        <v>258</v>
      </c>
      <c r="L27" s="537">
        <f>K27/L32</f>
        <v>2.9812803327940837E-2</v>
      </c>
      <c r="M27" s="522"/>
      <c r="N27" s="525">
        <v>205</v>
      </c>
      <c r="O27" s="537">
        <f>N27/O32</f>
        <v>2.1927478874745963E-2</v>
      </c>
      <c r="P27" s="522"/>
      <c r="Q27" s="523">
        <v>243</v>
      </c>
      <c r="R27" s="537">
        <f>Q27/R32</f>
        <v>2.4085637823371989E-2</v>
      </c>
      <c r="S27" s="522"/>
      <c r="T27" s="538">
        <f>(B27+E27+H27+K27+N27+Q27)/(6)</f>
        <v>378.66666666666669</v>
      </c>
      <c r="U27" s="537"/>
      <c r="V27" s="522"/>
    </row>
    <row r="28" spans="1:22">
      <c r="A28" s="521" t="s">
        <v>306</v>
      </c>
      <c r="B28" s="521"/>
      <c r="C28" s="522"/>
      <c r="D28" s="522"/>
      <c r="E28" s="522"/>
      <c r="F28" s="522"/>
      <c r="G28" s="522"/>
      <c r="H28" s="522"/>
      <c r="I28" s="522"/>
      <c r="J28" s="522"/>
      <c r="K28" s="522"/>
      <c r="L28" s="522"/>
      <c r="M28" s="522"/>
      <c r="N28" s="548"/>
      <c r="O28" s="522"/>
      <c r="P28" s="522"/>
      <c r="Q28" s="523"/>
      <c r="R28" s="522"/>
      <c r="S28" s="522"/>
      <c r="T28" s="522"/>
      <c r="U28" s="522"/>
      <c r="V28" s="522"/>
    </row>
    <row r="29" spans="1:22">
      <c r="A29" s="524" t="s">
        <v>299</v>
      </c>
      <c r="B29" s="524">
        <v>2390</v>
      </c>
      <c r="C29" s="540"/>
      <c r="D29" s="540"/>
      <c r="E29" s="522">
        <v>1525</v>
      </c>
      <c r="F29" s="540"/>
      <c r="G29" s="540"/>
      <c r="H29" s="540">
        <v>1821</v>
      </c>
      <c r="I29" s="540"/>
      <c r="J29" s="540"/>
      <c r="K29" s="540">
        <v>2171</v>
      </c>
      <c r="L29" s="540"/>
      <c r="M29" s="540"/>
      <c r="N29" s="541">
        <v>1690</v>
      </c>
      <c r="O29" s="540"/>
      <c r="P29" s="540"/>
      <c r="Q29" s="542">
        <v>2029</v>
      </c>
      <c r="R29" s="540"/>
      <c r="S29" s="540"/>
      <c r="T29" s="540"/>
      <c r="U29" s="540"/>
      <c r="V29" s="540"/>
    </row>
    <row r="30" spans="1:22">
      <c r="A30" s="524" t="s">
        <v>300</v>
      </c>
      <c r="B30" s="524">
        <v>300</v>
      </c>
      <c r="C30" s="522"/>
      <c r="D30" s="545">
        <f>B30/D32</f>
        <v>0.57361376673040154</v>
      </c>
      <c r="E30" s="522">
        <v>330</v>
      </c>
      <c r="F30" s="522"/>
      <c r="G30" s="545">
        <f>E30/G32</f>
        <v>0.5641025641025641</v>
      </c>
      <c r="H30" s="522">
        <v>257</v>
      </c>
      <c r="I30" s="522"/>
      <c r="J30" s="545">
        <f>H30/J32</f>
        <v>0.49709864603481624</v>
      </c>
      <c r="K30" s="522">
        <v>350</v>
      </c>
      <c r="L30" s="522"/>
      <c r="M30" s="545">
        <f>K30/M32</f>
        <v>0.56634304207119746</v>
      </c>
      <c r="N30" s="525">
        <v>125</v>
      </c>
      <c r="O30" s="522"/>
      <c r="P30" s="545">
        <f>N30/P32</f>
        <v>0.39936102236421728</v>
      </c>
      <c r="Q30" s="523">
        <v>158</v>
      </c>
      <c r="R30" s="522"/>
      <c r="S30" s="545">
        <f>Q30/S32</f>
        <v>0.71493212669683259</v>
      </c>
      <c r="T30" s="528">
        <f>(B30+E30+H30+K30+N30+Q30)/(6)</f>
        <v>253.33333333333334</v>
      </c>
      <c r="U30" s="522"/>
      <c r="V30" s="549">
        <f>T30/V32</f>
        <v>0.54735325891249553</v>
      </c>
    </row>
    <row r="31" spans="1:22">
      <c r="A31" s="524" t="s">
        <v>301</v>
      </c>
      <c r="B31" s="550">
        <v>2090</v>
      </c>
      <c r="C31" s="551">
        <f>B31/C32</f>
        <v>0.23989898989898989</v>
      </c>
      <c r="D31" s="551"/>
      <c r="E31" s="552">
        <v>1195</v>
      </c>
      <c r="F31" s="551">
        <f>E31/F32</f>
        <v>0.14824463466071208</v>
      </c>
      <c r="G31" s="551"/>
      <c r="H31" s="540">
        <v>1564</v>
      </c>
      <c r="I31" s="527">
        <f>H31/I32</f>
        <v>0.16301855326245571</v>
      </c>
      <c r="J31" s="527"/>
      <c r="K31" s="540">
        <v>1821</v>
      </c>
      <c r="L31" s="527">
        <f>K31/L32</f>
        <v>0.21042292581465219</v>
      </c>
      <c r="M31" s="527"/>
      <c r="N31" s="541">
        <v>1565</v>
      </c>
      <c r="O31" s="527">
        <f>N31/O32</f>
        <v>0.16739758262915819</v>
      </c>
      <c r="P31" s="527"/>
      <c r="Q31" s="542">
        <v>1871</v>
      </c>
      <c r="R31" s="527">
        <f>Q31/R32</f>
        <v>0.18544949945485181</v>
      </c>
      <c r="S31" s="527"/>
      <c r="T31" s="529">
        <f>(B31+E31+H31+K31+N31+Q31)/(6)</f>
        <v>1684.3333333333333</v>
      </c>
      <c r="U31" s="527">
        <f>T31/U32</f>
        <v>0.18557079637892726</v>
      </c>
      <c r="V31" s="527"/>
    </row>
    <row r="32" spans="1:22">
      <c r="A32" s="708" t="s">
        <v>307</v>
      </c>
      <c r="B32" s="703"/>
      <c r="C32" s="703">
        <f>B11+B15+B19+B23+B27+B31</f>
        <v>8712</v>
      </c>
      <c r="D32" s="703">
        <f>B10+B14+B18+B22+B26+B30</f>
        <v>523</v>
      </c>
      <c r="E32" s="703"/>
      <c r="F32" s="703">
        <v>8061</v>
      </c>
      <c r="G32" s="704">
        <v>585</v>
      </c>
      <c r="H32" s="360"/>
      <c r="I32" s="361">
        <v>9594</v>
      </c>
      <c r="J32" s="361">
        <v>517</v>
      </c>
      <c r="K32" s="361"/>
      <c r="L32" s="361">
        <v>8654</v>
      </c>
      <c r="M32" s="361">
        <v>618</v>
      </c>
      <c r="N32" s="361"/>
      <c r="O32" s="361">
        <v>9349</v>
      </c>
      <c r="P32" s="361">
        <v>313</v>
      </c>
      <c r="Q32" s="361"/>
      <c r="R32" s="361">
        <v>10089</v>
      </c>
      <c r="S32" s="361">
        <v>221</v>
      </c>
      <c r="T32" s="361"/>
      <c r="U32" s="361">
        <f>(C32+F32+I32+L32+O32+R32)/(6)</f>
        <v>9076.5</v>
      </c>
      <c r="V32" s="361">
        <f>(D32+G32+J32+M32+P32+S32)/(6)</f>
        <v>462.83333333333331</v>
      </c>
    </row>
    <row r="33" spans="1:4">
      <c r="D33" s="359"/>
    </row>
    <row r="34" spans="1:4">
      <c r="A34" s="161" t="s">
        <v>325</v>
      </c>
    </row>
    <row r="35" spans="1:4">
      <c r="A35" s="161" t="s">
        <v>441</v>
      </c>
    </row>
    <row r="36" spans="1:4">
      <c r="A36" s="161" t="s">
        <v>336</v>
      </c>
    </row>
    <row r="37" spans="1:4">
      <c r="A37" s="161" t="s">
        <v>337</v>
      </c>
    </row>
    <row r="41" spans="1:4">
      <c r="A41" s="15"/>
    </row>
    <row r="42" spans="1:4">
      <c r="B42" s="230"/>
    </row>
    <row r="43" spans="1:4">
      <c r="A43" s="230"/>
    </row>
  </sheetData>
  <pageMargins left="0.70866141732283472" right="0.70866141732283472" top="0.74803149606299213" bottom="0.74803149606299213" header="0.31496062992125984" footer="0.31496062992125984"/>
  <pageSetup paperSize="8" scale="68" orientation="landscape"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dimension ref="A1:M36"/>
  <sheetViews>
    <sheetView zoomScale="110" zoomScaleNormal="110" workbookViewId="0">
      <selection activeCell="L6" sqref="L6"/>
    </sheetView>
  </sheetViews>
  <sheetFormatPr defaultRowHeight="12.75"/>
  <cols>
    <col min="1" max="1" width="23.5703125" bestFit="1" customWidth="1"/>
    <col min="2" max="2" width="11.42578125" bestFit="1" customWidth="1"/>
    <col min="3" max="3" width="5.28515625" bestFit="1" customWidth="1"/>
    <col min="4" max="4" width="10.7109375" customWidth="1"/>
    <col min="5" max="5" width="15.85546875" bestFit="1" customWidth="1"/>
    <col min="6" max="6" width="11.5703125" bestFit="1" customWidth="1"/>
    <col min="7" max="7" width="12.140625" bestFit="1" customWidth="1"/>
    <col min="9" max="9" width="12.28515625" bestFit="1" customWidth="1"/>
    <col min="10" max="10" width="12.85546875" bestFit="1" customWidth="1"/>
  </cols>
  <sheetData>
    <row r="1" spans="1:13" ht="30">
      <c r="A1" s="803" t="s">
        <v>0</v>
      </c>
      <c r="B1" s="803" t="s">
        <v>1</v>
      </c>
      <c r="C1" s="803" t="s">
        <v>2</v>
      </c>
      <c r="D1" s="256" t="s">
        <v>109</v>
      </c>
      <c r="E1" s="801" t="s">
        <v>115</v>
      </c>
      <c r="F1" s="803" t="s">
        <v>111</v>
      </c>
      <c r="G1" s="803" t="s">
        <v>112</v>
      </c>
    </row>
    <row r="2" spans="1:13" ht="15.75" thickBot="1">
      <c r="A2" s="804"/>
      <c r="B2" s="804"/>
      <c r="C2" s="804"/>
      <c r="D2" s="257" t="s">
        <v>110</v>
      </c>
      <c r="E2" s="802"/>
      <c r="F2" s="804"/>
      <c r="G2" s="804"/>
    </row>
    <row r="3" spans="1:13" ht="15.75" thickBot="1">
      <c r="A3" s="258" t="s">
        <v>4</v>
      </c>
      <c r="B3" s="259"/>
      <c r="C3" s="259"/>
      <c r="D3" s="259"/>
      <c r="E3" s="259"/>
      <c r="F3" s="259"/>
      <c r="G3" s="259"/>
      <c r="J3" s="46"/>
      <c r="K3" s="46"/>
      <c r="L3" s="46"/>
      <c r="M3" s="46"/>
    </row>
    <row r="4" spans="1:13" ht="15" thickBot="1">
      <c r="A4" s="260" t="s">
        <v>73</v>
      </c>
      <c r="B4" s="261" t="s">
        <v>247</v>
      </c>
      <c r="C4" s="688" t="s">
        <v>12</v>
      </c>
      <c r="D4" s="691">
        <f>D19</f>
        <v>29.761149333836791</v>
      </c>
      <c r="E4" s="691">
        <f>E19</f>
        <v>87.347399999999993</v>
      </c>
      <c r="F4" s="692">
        <v>0.28499999999999998</v>
      </c>
      <c r="G4" s="692">
        <v>1.33E-3</v>
      </c>
      <c r="I4" s="46"/>
      <c r="J4" s="415"/>
      <c r="K4" s="415"/>
      <c r="L4" s="414"/>
      <c r="M4" s="413"/>
    </row>
    <row r="5" spans="1:13" ht="15" thickBot="1">
      <c r="A5" s="260" t="s">
        <v>74</v>
      </c>
      <c r="B5" s="261" t="s">
        <v>247</v>
      </c>
      <c r="C5" s="688" t="s">
        <v>12</v>
      </c>
      <c r="D5" s="691">
        <f>D20</f>
        <v>21.297087948903538</v>
      </c>
      <c r="E5" s="691">
        <f t="shared" ref="D5:E6" si="0">E20</f>
        <v>90.150199999999998</v>
      </c>
      <c r="F5" s="692">
        <v>0.28499999999999998</v>
      </c>
      <c r="G5" s="692">
        <v>1.33E-3</v>
      </c>
      <c r="I5" s="46"/>
      <c r="J5" s="415"/>
      <c r="K5" s="415"/>
      <c r="L5" s="414"/>
      <c r="M5" s="412"/>
    </row>
    <row r="6" spans="1:13" ht="15" thickBot="1">
      <c r="A6" s="260" t="s">
        <v>75</v>
      </c>
      <c r="B6" s="261" t="s">
        <v>247</v>
      </c>
      <c r="C6" s="688" t="s">
        <v>12</v>
      </c>
      <c r="D6" s="691">
        <f t="shared" si="0"/>
        <v>15.3491010036236</v>
      </c>
      <c r="E6" s="691">
        <f t="shared" si="0"/>
        <v>91.247799999999998</v>
      </c>
      <c r="F6" s="693">
        <v>0.28499999999999998</v>
      </c>
      <c r="G6" s="694">
        <v>1.33E-3</v>
      </c>
      <c r="I6" s="46"/>
      <c r="J6" s="415"/>
      <c r="K6" s="415"/>
      <c r="L6" s="413"/>
      <c r="M6" s="412"/>
    </row>
    <row r="7" spans="1:13" ht="15" thickBot="1">
      <c r="A7" s="805" t="s">
        <v>7</v>
      </c>
      <c r="B7" s="805" t="s">
        <v>8</v>
      </c>
      <c r="C7" s="688" t="s">
        <v>9</v>
      </c>
      <c r="D7" s="695" t="s">
        <v>113</v>
      </c>
      <c r="E7" s="696">
        <v>0.18998480990317129</v>
      </c>
      <c r="F7" s="697">
        <f>F8*0.0036</f>
        <v>3.8879999999999999E-6</v>
      </c>
      <c r="G7" s="697">
        <f>G8*0.0036</f>
        <v>7.4519999999999991E-6</v>
      </c>
    </row>
    <row r="8" spans="1:13" ht="15" thickBot="1">
      <c r="A8" s="806"/>
      <c r="B8" s="806"/>
      <c r="C8" s="688" t="s">
        <v>10</v>
      </c>
      <c r="D8" s="695" t="s">
        <v>113</v>
      </c>
      <c r="E8" s="691">
        <v>52.77355830643647</v>
      </c>
      <c r="F8" s="698">
        <v>1.08E-3</v>
      </c>
      <c r="G8" s="698">
        <v>2.0699999999999998E-3</v>
      </c>
    </row>
    <row r="9" spans="1:13" ht="15" thickBot="1">
      <c r="A9" s="260" t="s">
        <v>73</v>
      </c>
      <c r="B9" s="261" t="s">
        <v>8</v>
      </c>
      <c r="C9" s="688" t="s">
        <v>12</v>
      </c>
      <c r="D9" s="691">
        <v>29.761149333836791</v>
      </c>
      <c r="E9" s="691">
        <v>87.347399999999993</v>
      </c>
      <c r="F9" s="698">
        <v>9.4999999999999998E-3</v>
      </c>
      <c r="G9" s="698">
        <v>1.33E-3</v>
      </c>
    </row>
    <row r="10" spans="1:13" ht="15" thickBot="1">
      <c r="A10" s="260" t="s">
        <v>74</v>
      </c>
      <c r="B10" s="261" t="s">
        <v>8</v>
      </c>
      <c r="C10" s="688" t="s">
        <v>12</v>
      </c>
      <c r="D10" s="691">
        <v>21.297087948903538</v>
      </c>
      <c r="E10" s="691">
        <v>90.150199999999998</v>
      </c>
      <c r="F10" s="698">
        <v>9.4999999999999998E-3</v>
      </c>
      <c r="G10" s="698">
        <v>1.33E-3</v>
      </c>
    </row>
    <row r="11" spans="1:13" ht="15" thickBot="1">
      <c r="A11" s="260" t="s">
        <v>75</v>
      </c>
      <c r="B11" s="261" t="s">
        <v>8</v>
      </c>
      <c r="C11" s="688" t="s">
        <v>12</v>
      </c>
      <c r="D11" s="691">
        <v>15.3491010036236</v>
      </c>
      <c r="E11" s="691">
        <v>91.247799999999998</v>
      </c>
      <c r="F11" s="698">
        <v>9.4999999999999998E-3</v>
      </c>
      <c r="G11" s="698">
        <v>1.33E-3</v>
      </c>
    </row>
    <row r="12" spans="1:13" ht="15" thickBot="1">
      <c r="A12" s="336"/>
      <c r="B12" s="337"/>
      <c r="C12" s="689"/>
      <c r="D12" s="695"/>
      <c r="E12" s="695"/>
      <c r="F12" s="698"/>
      <c r="G12" s="698"/>
    </row>
    <row r="13" spans="1:13" ht="15" thickBot="1">
      <c r="A13" s="260" t="s">
        <v>15</v>
      </c>
      <c r="B13" s="261" t="s">
        <v>8</v>
      </c>
      <c r="C13" s="688" t="s">
        <v>16</v>
      </c>
      <c r="D13" s="691">
        <v>38.451119215098146</v>
      </c>
      <c r="E13" s="691">
        <v>69.035134371013143</v>
      </c>
      <c r="F13" s="699">
        <v>6.6500000000000001E-4</v>
      </c>
      <c r="G13" s="699">
        <v>3.8000000000000002E-4</v>
      </c>
    </row>
    <row r="14" spans="1:13" ht="15" thickBot="1">
      <c r="A14" s="260" t="s">
        <v>17</v>
      </c>
      <c r="B14" s="261" t="s">
        <v>8</v>
      </c>
      <c r="C14" s="688" t="s">
        <v>12</v>
      </c>
      <c r="D14" s="691">
        <v>53</v>
      </c>
      <c r="E14" s="691">
        <v>56.436226415094346</v>
      </c>
      <c r="F14" s="698">
        <v>1.0449999999999999E-3</v>
      </c>
      <c r="G14" s="699">
        <v>5.6999999999999998E-4</v>
      </c>
    </row>
    <row r="15" spans="1:13" ht="15" thickBot="1">
      <c r="A15" s="260" t="s">
        <v>18</v>
      </c>
      <c r="B15" s="261" t="s">
        <v>8</v>
      </c>
      <c r="C15" s="688" t="s">
        <v>16</v>
      </c>
      <c r="D15" s="691">
        <v>41.073195764217971</v>
      </c>
      <c r="E15" s="691">
        <v>72.750793448684888</v>
      </c>
      <c r="F15" s="698">
        <v>1.33E-3</v>
      </c>
      <c r="G15" s="699">
        <v>2.8499999999999999E-4</v>
      </c>
    </row>
    <row r="16" spans="1:13" ht="15" thickBot="1">
      <c r="A16" s="260" t="s">
        <v>19</v>
      </c>
      <c r="B16" s="261" t="s">
        <v>8</v>
      </c>
      <c r="C16" s="688" t="s">
        <v>16</v>
      </c>
      <c r="D16" s="691">
        <v>40.648893424595087</v>
      </c>
      <c r="E16" s="691">
        <v>72.148357825068913</v>
      </c>
      <c r="F16" s="698">
        <v>1.33E-3</v>
      </c>
      <c r="G16" s="699">
        <v>2.8499999999999999E-4</v>
      </c>
    </row>
    <row r="17" spans="1:10" ht="15" thickBot="1">
      <c r="A17" s="805" t="s">
        <v>7</v>
      </c>
      <c r="B17" s="805" t="s">
        <v>20</v>
      </c>
      <c r="C17" s="688" t="s">
        <v>9</v>
      </c>
      <c r="D17" s="695" t="s">
        <v>113</v>
      </c>
      <c r="E17" s="696">
        <v>0.18998480990317129</v>
      </c>
      <c r="F17" s="697">
        <f>F18*0.0036</f>
        <v>4.5360000000000003E-6</v>
      </c>
      <c r="G17" s="697">
        <f>G18*0.036</f>
        <v>3.2399999999999995E-6</v>
      </c>
      <c r="I17" s="402"/>
      <c r="J17" s="403"/>
    </row>
    <row r="18" spans="1:10" ht="15" thickBot="1">
      <c r="A18" s="806"/>
      <c r="B18" s="806"/>
      <c r="C18" s="688" t="s">
        <v>10</v>
      </c>
      <c r="D18" s="695" t="s">
        <v>113</v>
      </c>
      <c r="E18" s="691">
        <v>52.77355830643647</v>
      </c>
      <c r="F18" s="698">
        <v>1.2600000000000001E-3</v>
      </c>
      <c r="G18" s="700">
        <v>8.9999999999999992E-5</v>
      </c>
      <c r="I18" s="404"/>
      <c r="J18" s="405"/>
    </row>
    <row r="19" spans="1:10" ht="15" thickBot="1">
      <c r="A19" s="260" t="s">
        <v>73</v>
      </c>
      <c r="B19" s="261" t="s">
        <v>20</v>
      </c>
      <c r="C19" s="688" t="s">
        <v>12</v>
      </c>
      <c r="D19" s="691">
        <v>29.761149333836791</v>
      </c>
      <c r="E19" s="691">
        <v>87.347399999999993</v>
      </c>
      <c r="F19" s="699">
        <v>6.6500000000000001E-4</v>
      </c>
      <c r="G19" s="698">
        <v>1.5200000000000001E-3</v>
      </c>
      <c r="I19" s="63"/>
      <c r="J19" s="63"/>
    </row>
    <row r="20" spans="1:10" ht="15" thickBot="1">
      <c r="A20" s="260" t="s">
        <v>74</v>
      </c>
      <c r="B20" s="261" t="s">
        <v>20</v>
      </c>
      <c r="C20" s="688" t="s">
        <v>12</v>
      </c>
      <c r="D20" s="691">
        <v>21.297087948903538</v>
      </c>
      <c r="E20" s="691">
        <v>90.150199999999998</v>
      </c>
      <c r="F20" s="699">
        <v>6.6500000000000001E-4</v>
      </c>
      <c r="G20" s="698">
        <v>1.5200000000000001E-3</v>
      </c>
      <c r="I20" s="63"/>
      <c r="J20" s="63"/>
    </row>
    <row r="21" spans="1:10" ht="15" thickBot="1">
      <c r="A21" s="260" t="s">
        <v>75</v>
      </c>
      <c r="B21" s="261" t="s">
        <v>20</v>
      </c>
      <c r="C21" s="688" t="s">
        <v>12</v>
      </c>
      <c r="D21" s="691">
        <v>15.3491010036236</v>
      </c>
      <c r="E21" s="691">
        <v>91.247799999999998</v>
      </c>
      <c r="F21" s="699">
        <v>6.6500000000000001E-4</v>
      </c>
      <c r="G21" s="698">
        <v>1.5200000000000001E-3</v>
      </c>
      <c r="I21" s="63"/>
      <c r="J21" s="63"/>
    </row>
    <row r="22" spans="1:10" ht="15" thickBot="1">
      <c r="A22" s="336"/>
      <c r="B22" s="337"/>
      <c r="C22" s="689"/>
      <c r="D22" s="695"/>
      <c r="E22" s="695"/>
      <c r="F22" s="698"/>
      <c r="G22" s="698"/>
    </row>
    <row r="23" spans="1:10" ht="15" thickBot="1">
      <c r="A23" s="260" t="s">
        <v>15</v>
      </c>
      <c r="B23" s="261" t="s">
        <v>20</v>
      </c>
      <c r="C23" s="688" t="s">
        <v>16</v>
      </c>
      <c r="D23" s="691">
        <f>D13</f>
        <v>38.451119215098146</v>
      </c>
      <c r="E23" s="691">
        <v>69.035134371013143</v>
      </c>
      <c r="F23" s="699">
        <v>1.9000000000000001E-4</v>
      </c>
      <c r="G23" s="699">
        <v>3.8000000000000002E-4</v>
      </c>
    </row>
    <row r="24" spans="1:10" ht="15" thickBot="1">
      <c r="A24" s="260" t="s">
        <v>17</v>
      </c>
      <c r="B24" s="261" t="s">
        <v>20</v>
      </c>
      <c r="C24" s="688" t="s">
        <v>12</v>
      </c>
      <c r="D24" s="691">
        <f>D14</f>
        <v>53</v>
      </c>
      <c r="E24" s="691">
        <v>56.436226415094346</v>
      </c>
      <c r="F24" s="698">
        <v>1.0449999999999999E-3</v>
      </c>
      <c r="G24" s="699">
        <v>5.6999999999999998E-4</v>
      </c>
    </row>
    <row r="25" spans="1:10" ht="15" thickBot="1">
      <c r="A25" s="260" t="s">
        <v>18</v>
      </c>
      <c r="B25" s="261" t="s">
        <v>20</v>
      </c>
      <c r="C25" s="688" t="s">
        <v>16</v>
      </c>
      <c r="D25" s="691">
        <f>D15</f>
        <v>41.073195764217971</v>
      </c>
      <c r="E25" s="691">
        <f>E15</f>
        <v>72.750793448684888</v>
      </c>
      <c r="F25" s="698">
        <v>2.8500000000000001E-3</v>
      </c>
      <c r="G25" s="699">
        <v>2.8499999999999999E-4</v>
      </c>
    </row>
    <row r="26" spans="1:10" ht="15" thickBot="1">
      <c r="A26" s="260" t="s">
        <v>19</v>
      </c>
      <c r="B26" s="261" t="s">
        <v>20</v>
      </c>
      <c r="C26" s="688" t="s">
        <v>16</v>
      </c>
      <c r="D26" s="691">
        <f>D16</f>
        <v>40.648893424595087</v>
      </c>
      <c r="E26" s="691">
        <f>E16</f>
        <v>72.148357825068913</v>
      </c>
      <c r="F26" s="698">
        <v>2.8500000000000001E-3</v>
      </c>
      <c r="G26" s="699">
        <v>2.8499999999999999E-4</v>
      </c>
    </row>
    <row r="27" spans="1:10" ht="15" thickBot="1">
      <c r="A27" s="260" t="s">
        <v>21</v>
      </c>
      <c r="B27" s="261" t="s">
        <v>20</v>
      </c>
      <c r="C27" s="688" t="s">
        <v>12</v>
      </c>
      <c r="D27" s="695">
        <v>9.6300000000000008</v>
      </c>
      <c r="E27" s="701">
        <v>104.15166666666666</v>
      </c>
      <c r="F27" s="702">
        <v>1.4250000000000001E-2</v>
      </c>
      <c r="G27" s="698">
        <v>3.8E-3</v>
      </c>
    </row>
    <row r="28" spans="1:10" ht="15" thickBot="1">
      <c r="A28" s="260" t="s">
        <v>21</v>
      </c>
      <c r="B28" s="261" t="s">
        <v>520</v>
      </c>
      <c r="C28" s="688" t="s">
        <v>12</v>
      </c>
      <c r="D28" s="695">
        <v>9.6300000000000008</v>
      </c>
      <c r="E28" s="701">
        <v>104.15166666666666</v>
      </c>
      <c r="F28" s="696">
        <v>0.28499999999999998</v>
      </c>
      <c r="G28" s="698">
        <v>3.8E-3</v>
      </c>
    </row>
    <row r="29" spans="1:10" ht="15.75" thickBot="1">
      <c r="A29" s="258" t="s">
        <v>6</v>
      </c>
      <c r="B29" s="259"/>
      <c r="C29" s="690"/>
      <c r="D29" s="695"/>
      <c r="E29" s="695"/>
      <c r="F29" s="698"/>
      <c r="G29" s="698"/>
    </row>
    <row r="30" spans="1:10" ht="15" thickBot="1">
      <c r="A30" s="260" t="s">
        <v>114</v>
      </c>
      <c r="B30" s="261" t="s">
        <v>24</v>
      </c>
      <c r="C30" s="688" t="s">
        <v>16</v>
      </c>
      <c r="D30" s="691">
        <v>35.03696305894745</v>
      </c>
      <c r="E30" s="691">
        <v>65.897717682051564</v>
      </c>
      <c r="F30" s="702">
        <v>1.8525E-2</v>
      </c>
      <c r="G30" s="698">
        <v>1.4250000000000001E-3</v>
      </c>
    </row>
    <row r="31" spans="1:10" ht="15" thickBot="1">
      <c r="A31" s="260" t="s">
        <v>25</v>
      </c>
      <c r="B31" s="261" t="s">
        <v>24</v>
      </c>
      <c r="C31" s="688" t="s">
        <v>16</v>
      </c>
      <c r="D31" s="691">
        <v>35.24969056676558</v>
      </c>
      <c r="E31" s="691">
        <v>66.121855301941835</v>
      </c>
      <c r="F31" s="702">
        <v>1.8525E-2</v>
      </c>
      <c r="G31" s="698">
        <v>1.4250000000000001E-3</v>
      </c>
    </row>
    <row r="32" spans="1:10" ht="15" thickBot="1">
      <c r="A32" s="260" t="s">
        <v>15</v>
      </c>
      <c r="B32" s="261" t="s">
        <v>24</v>
      </c>
      <c r="C32" s="688" t="s">
        <v>16</v>
      </c>
      <c r="D32" s="691">
        <v>38.451119215098103</v>
      </c>
      <c r="E32" s="691">
        <v>69.035134371013143</v>
      </c>
      <c r="F32" s="698">
        <v>3.8E-3</v>
      </c>
      <c r="G32" s="698">
        <v>3.705E-3</v>
      </c>
    </row>
    <row r="33" spans="1:7" ht="15" thickBot="1">
      <c r="A33" s="260" t="s">
        <v>17</v>
      </c>
      <c r="B33" s="261" t="s">
        <v>24</v>
      </c>
      <c r="C33" s="688" t="s">
        <v>16</v>
      </c>
      <c r="D33" s="691">
        <v>26.54</v>
      </c>
      <c r="E33" s="691">
        <v>56.436226415094346</v>
      </c>
      <c r="F33" s="702">
        <v>2.8500000000000001E-2</v>
      </c>
      <c r="G33" s="699">
        <v>5.6999999999999998E-4</v>
      </c>
    </row>
    <row r="34" spans="1:7" ht="15" thickBot="1">
      <c r="A34" s="260" t="s">
        <v>52</v>
      </c>
      <c r="B34" s="261" t="s">
        <v>24</v>
      </c>
      <c r="C34" s="688" t="s">
        <v>16</v>
      </c>
      <c r="D34" s="695" t="s">
        <v>212</v>
      </c>
      <c r="E34" s="695" t="s">
        <v>212</v>
      </c>
      <c r="F34" s="698" t="s">
        <v>212</v>
      </c>
      <c r="G34" s="698" t="s">
        <v>212</v>
      </c>
    </row>
    <row r="35" spans="1:7" ht="15" thickBot="1">
      <c r="A35" s="260" t="s">
        <v>18</v>
      </c>
      <c r="B35" s="261" t="s">
        <v>24</v>
      </c>
      <c r="C35" s="688" t="s">
        <v>16</v>
      </c>
      <c r="D35" s="691">
        <f>D15</f>
        <v>41.073195764217971</v>
      </c>
      <c r="E35" s="691">
        <f>E15</f>
        <v>72.750793448684888</v>
      </c>
      <c r="F35" s="698">
        <v>6.6499999999999997E-3</v>
      </c>
      <c r="G35" s="698">
        <v>1.9E-3</v>
      </c>
    </row>
    <row r="36" spans="1:7" ht="15" thickBot="1">
      <c r="A36" s="260" t="s">
        <v>19</v>
      </c>
      <c r="B36" s="261" t="s">
        <v>24</v>
      </c>
      <c r="C36" s="688" t="s">
        <v>16</v>
      </c>
      <c r="D36" s="691">
        <f>D16</f>
        <v>40.648893424595087</v>
      </c>
      <c r="E36" s="691">
        <f>E16</f>
        <v>72.148357825068913</v>
      </c>
      <c r="F36" s="698">
        <v>6.6500000000000005E-3</v>
      </c>
      <c r="G36" s="698">
        <v>1.9E-3</v>
      </c>
    </row>
  </sheetData>
  <mergeCells count="10">
    <mergeCell ref="A17:A18"/>
    <mergeCell ref="B17:B18"/>
    <mergeCell ref="A1:A2"/>
    <mergeCell ref="B1:B2"/>
    <mergeCell ref="C1:C2"/>
    <mergeCell ref="E1:E2"/>
    <mergeCell ref="F1:F2"/>
    <mergeCell ref="G1:G2"/>
    <mergeCell ref="A7:A8"/>
    <mergeCell ref="B7:B8"/>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F29"/>
  <sheetViews>
    <sheetView tabSelected="1" workbookViewId="0">
      <selection activeCell="A51" sqref="A51"/>
    </sheetView>
  </sheetViews>
  <sheetFormatPr defaultRowHeight="12.75"/>
  <cols>
    <col min="1" max="1" width="80.28515625" customWidth="1"/>
  </cols>
  <sheetData>
    <row r="1" spans="1:6" ht="18.75">
      <c r="A1" s="441" t="s">
        <v>414</v>
      </c>
      <c r="D1" s="86"/>
      <c r="E1" s="86"/>
      <c r="F1" s="86"/>
    </row>
    <row r="2" spans="1:6">
      <c r="A2" s="86"/>
      <c r="D2" s="86"/>
      <c r="E2" s="86"/>
      <c r="F2" s="86"/>
    </row>
    <row r="3" spans="1:6">
      <c r="A3" s="86" t="s">
        <v>499</v>
      </c>
      <c r="D3" s="86"/>
      <c r="E3" s="86"/>
      <c r="F3" s="86"/>
    </row>
    <row r="4" spans="1:6">
      <c r="A4" s="86"/>
      <c r="D4" s="86"/>
      <c r="E4" s="86"/>
      <c r="F4" s="86"/>
    </row>
    <row r="5" spans="1:6">
      <c r="A5" s="442" t="s">
        <v>222</v>
      </c>
      <c r="D5" s="86"/>
      <c r="E5" s="86"/>
      <c r="F5" s="86"/>
    </row>
    <row r="6" spans="1:6">
      <c r="A6" s="86"/>
      <c r="D6" s="86"/>
      <c r="E6" s="86"/>
      <c r="F6" s="86"/>
    </row>
    <row r="7" spans="1:6">
      <c r="A7" s="443" t="s">
        <v>192</v>
      </c>
    </row>
    <row r="8" spans="1:6">
      <c r="A8" s="443"/>
    </row>
    <row r="9" spans="1:6">
      <c r="A9" s="435" t="s">
        <v>392</v>
      </c>
    </row>
    <row r="10" spans="1:6">
      <c r="A10" s="443" t="s">
        <v>381</v>
      </c>
    </row>
    <row r="11" spans="1:6">
      <c r="A11" s="443" t="s">
        <v>382</v>
      </c>
    </row>
    <row r="12" spans="1:6">
      <c r="A12" s="443" t="s">
        <v>383</v>
      </c>
    </row>
    <row r="13" spans="1:6">
      <c r="A13" s="443" t="s">
        <v>384</v>
      </c>
    </row>
    <row r="14" spans="1:6">
      <c r="A14" s="443" t="s">
        <v>385</v>
      </c>
    </row>
    <row r="15" spans="1:6">
      <c r="A15" s="443"/>
    </row>
    <row r="16" spans="1:6">
      <c r="A16" s="435" t="s">
        <v>393</v>
      </c>
    </row>
    <row r="17" spans="1:1">
      <c r="A17" s="443" t="s">
        <v>386</v>
      </c>
    </row>
    <row r="18" spans="1:1">
      <c r="A18" s="443"/>
    </row>
    <row r="19" spans="1:1" ht="12" customHeight="1">
      <c r="A19" s="435" t="s">
        <v>394</v>
      </c>
    </row>
    <row r="20" spans="1:1">
      <c r="A20" s="443" t="s">
        <v>387</v>
      </c>
    </row>
    <row r="21" spans="1:1">
      <c r="A21" s="443" t="s">
        <v>388</v>
      </c>
    </row>
    <row r="22" spans="1:1">
      <c r="A22" s="443" t="s">
        <v>389</v>
      </c>
    </row>
    <row r="23" spans="1:1">
      <c r="A23" s="443" t="s">
        <v>390</v>
      </c>
    </row>
    <row r="24" spans="1:1">
      <c r="A24" s="443"/>
    </row>
    <row r="25" spans="1:1">
      <c r="A25" s="435" t="s">
        <v>395</v>
      </c>
    </row>
    <row r="26" spans="1:1">
      <c r="A26" s="443" t="s">
        <v>391</v>
      </c>
    </row>
    <row r="27" spans="1:1">
      <c r="A27" s="443" t="s">
        <v>500</v>
      </c>
    </row>
    <row r="28" spans="1:1">
      <c r="A28" s="443" t="s">
        <v>396</v>
      </c>
    </row>
    <row r="29" spans="1:1">
      <c r="A29" s="86"/>
    </row>
  </sheetData>
  <hyperlinks>
    <hyperlink ref="A7" location="Glossary!A1" display="Glossary"/>
    <hyperlink ref="A14" location="'Scope 1 Refrigerants'!A11" display="Scope 1 EFs - Refrigerants"/>
    <hyperlink ref="A17" location="'Scope 2 Electricity'!A13" display="Scope 2 EFs - Electricity"/>
    <hyperlink ref="A20" location="'Scope 3 T &amp; D losses'!A15" display="Scope 3 EFs - Transmission and distribution losses"/>
    <hyperlink ref="A21" location="'Scope 3 Taxi and rental cars'!A1" display="Scope 3 EFs - Taxis and rental cars"/>
    <hyperlink ref="A22" location="'Scope 3 Air travel'!A17" display="Scope 3 EFs - Air travel"/>
    <hyperlink ref="A23" location="'Scope 3 Waste to landfill'!A1" display="Scope 3 EFs - Waste to landfill"/>
    <hyperlink ref="A10" location="'Scope 1 Stationary fuels'!A1" display="Scope 1 EFs - Stationary fuel combustion"/>
    <hyperlink ref="A12" location="'Scope 1 Transport fuels'!A7" display="Scope 1 EFs - Transport fuels"/>
    <hyperlink ref="A13" location="'Scope 1 Transport by distance '!A1" display="Scope 1 EFs - Transport by distance"/>
    <hyperlink ref="A11" location="'Scope 1 Uncertainties'!A9" display="Scope 1 - Uncertainties"/>
    <hyperlink ref="A26" location="'Transport-background data'!A1" display="Transport - background data"/>
    <hyperlink ref="A27" location="'rental car &amp; taxi by cc'!A1" display="Rental car and taxi by engine size"/>
    <hyperlink ref="A28" location="'Calorific values for EFs '!A1" display="Calorific values and derivation of emission factors for scope 1 (stationary fuel combustion and transport)"/>
  </hyperlinks>
  <pageMargins left="0.70866141732283472" right="0.70866141732283472" top="0.74803149606299213" bottom="0.74803149606299213" header="0.31496062992125984" footer="0.31496062992125984"/>
  <pageSetup paperSize="8" orientation="landscape"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pageSetUpPr fitToPage="1"/>
  </sheetPr>
  <dimension ref="B1:E8"/>
  <sheetViews>
    <sheetView workbookViewId="0">
      <selection activeCell="C5" sqref="C5"/>
    </sheetView>
  </sheetViews>
  <sheetFormatPr defaultRowHeight="12.75"/>
  <cols>
    <col min="3" max="3" width="64" customWidth="1"/>
    <col min="4" max="4" width="26.7109375" customWidth="1"/>
    <col min="5" max="5" width="36" customWidth="1"/>
  </cols>
  <sheetData>
    <row r="1" spans="2:5" ht="18.75">
      <c r="C1" s="441" t="s">
        <v>192</v>
      </c>
    </row>
    <row r="2" spans="2:5">
      <c r="C2" s="74"/>
    </row>
    <row r="4" spans="2:5">
      <c r="B4" s="4" t="s">
        <v>44</v>
      </c>
      <c r="C4" s="15" t="s">
        <v>501</v>
      </c>
      <c r="D4" s="46" t="s">
        <v>521</v>
      </c>
      <c r="E4" s="15"/>
    </row>
    <row r="5" spans="2:5">
      <c r="B5" s="46" t="s">
        <v>415</v>
      </c>
      <c r="C5" s="15" t="s">
        <v>416</v>
      </c>
      <c r="D5" s="46" t="s">
        <v>521</v>
      </c>
      <c r="E5" s="15"/>
    </row>
    <row r="6" spans="2:5">
      <c r="B6" s="46" t="s">
        <v>413</v>
      </c>
      <c r="C6" s="46" t="s">
        <v>408</v>
      </c>
    </row>
    <row r="7" spans="2:5">
      <c r="B7" s="46" t="s">
        <v>117</v>
      </c>
      <c r="C7" s="46" t="s">
        <v>118</v>
      </c>
    </row>
    <row r="8" spans="2:5">
      <c r="B8" s="46" t="s">
        <v>360</v>
      </c>
      <c r="C8" s="46" t="s">
        <v>361</v>
      </c>
    </row>
  </sheetData>
  <hyperlinks>
    <hyperlink ref="C4" r:id="rId1"/>
    <hyperlink ref="C5" r:id="rId2"/>
  </hyperlinks>
  <pageMargins left="0.70866141732283472" right="0.70866141732283472" top="0.74803149606299213" bottom="0.74803149606299213" header="0.31496062992125984" footer="0.31496062992125984"/>
  <pageSetup paperSize="9" scale="64" orientation="landscape" r:id="rId3"/>
  <legacy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B1:V145"/>
  <sheetViews>
    <sheetView topLeftCell="A92" zoomScale="90" zoomScaleNormal="90" workbookViewId="0">
      <selection activeCell="K101" sqref="K101"/>
    </sheetView>
  </sheetViews>
  <sheetFormatPr defaultColWidth="9.140625" defaultRowHeight="12.75"/>
  <cols>
    <col min="1" max="1" width="23.85546875" style="78" customWidth="1"/>
    <col min="2" max="2" width="28.140625" style="78" customWidth="1"/>
    <col min="3" max="3" width="15.140625" style="78" customWidth="1"/>
    <col min="4" max="4" width="14.140625" style="78" customWidth="1"/>
    <col min="5" max="5" width="16.7109375" style="78" customWidth="1"/>
    <col min="6" max="6" width="14.7109375" style="78" customWidth="1"/>
    <col min="7" max="7" width="16.7109375" style="78" customWidth="1"/>
    <col min="8" max="8" width="15.42578125" style="78" customWidth="1"/>
    <col min="9" max="9" width="16.42578125" style="78" customWidth="1"/>
    <col min="10" max="10" width="9.140625" style="78"/>
    <col min="11" max="11" width="20.5703125" style="78" bestFit="1" customWidth="1"/>
    <col min="12" max="18" width="9.140625" style="78"/>
    <col min="19" max="19" width="10.28515625" style="78" bestFit="1" customWidth="1"/>
    <col min="20" max="16384" width="9.140625" style="78"/>
  </cols>
  <sheetData>
    <row r="1" spans="2:19">
      <c r="B1" s="79" t="s">
        <v>369</v>
      </c>
    </row>
    <row r="3" spans="2:19" s="124" customFormat="1">
      <c r="K3" s="78"/>
      <c r="L3" s="78"/>
      <c r="M3" s="78"/>
      <c r="N3" s="78"/>
      <c r="O3" s="78"/>
      <c r="P3" s="78"/>
      <c r="Q3" s="78"/>
      <c r="R3" s="78"/>
      <c r="S3" s="78"/>
    </row>
    <row r="4" spans="2:19" s="124" customFormat="1" ht="12" customHeight="1">
      <c r="B4" s="91" t="s">
        <v>423</v>
      </c>
      <c r="K4" s="46"/>
      <c r="L4" s="46"/>
      <c r="M4" s="46"/>
      <c r="N4" s="46"/>
      <c r="O4" s="46"/>
      <c r="P4" s="382"/>
      <c r="Q4" s="382"/>
      <c r="R4" s="382"/>
      <c r="S4" s="383"/>
    </row>
    <row r="5" spans="2:19">
      <c r="B5" s="46"/>
      <c r="P5" s="153"/>
      <c r="Q5" s="384"/>
      <c r="R5" s="384"/>
      <c r="S5" s="385"/>
    </row>
    <row r="6" spans="2:19" ht="53.25" customHeight="1">
      <c r="B6" s="80" t="s">
        <v>0</v>
      </c>
      <c r="C6" s="80" t="s">
        <v>1</v>
      </c>
      <c r="D6" s="80" t="s">
        <v>2</v>
      </c>
      <c r="E6" s="567" t="s">
        <v>3</v>
      </c>
      <c r="F6" s="567" t="s">
        <v>240</v>
      </c>
      <c r="G6" s="567" t="s">
        <v>225</v>
      </c>
      <c r="H6" s="567" t="s">
        <v>241</v>
      </c>
      <c r="I6" s="568" t="s">
        <v>226</v>
      </c>
      <c r="P6" s="47"/>
      <c r="Q6" s="386"/>
      <c r="R6" s="386"/>
      <c r="S6" s="386"/>
    </row>
    <row r="7" spans="2:19">
      <c r="B7" s="81" t="s">
        <v>4</v>
      </c>
      <c r="C7" s="293"/>
      <c r="D7" s="293"/>
      <c r="E7" s="293"/>
      <c r="F7" s="293"/>
      <c r="G7" s="293"/>
      <c r="H7" s="293"/>
      <c r="I7" s="293"/>
      <c r="P7" s="47"/>
      <c r="Q7" s="317"/>
      <c r="R7" s="387"/>
      <c r="S7" s="388"/>
    </row>
    <row r="8" spans="2:19">
      <c r="B8" s="269" t="s">
        <v>11</v>
      </c>
      <c r="C8" s="269" t="s">
        <v>247</v>
      </c>
      <c r="D8" s="269" t="s">
        <v>12</v>
      </c>
      <c r="E8" s="270">
        <v>2.7899500159557293</v>
      </c>
      <c r="F8" s="270">
        <v>2.5995590153223755</v>
      </c>
      <c r="G8" s="271">
        <v>0.17812047876301318</v>
      </c>
      <c r="H8" s="272">
        <v>1.227052187034091E-2</v>
      </c>
      <c r="I8" s="507">
        <v>4.5687525475237946E-2</v>
      </c>
      <c r="P8" s="389"/>
      <c r="Q8" s="389"/>
      <c r="R8" s="301"/>
      <c r="S8" s="301"/>
    </row>
    <row r="9" spans="2:19">
      <c r="B9" s="269" t="s">
        <v>13</v>
      </c>
      <c r="C9" s="269" t="s">
        <v>247</v>
      </c>
      <c r="D9" s="269" t="s">
        <v>12</v>
      </c>
      <c r="E9" s="270">
        <v>2.0561805987467645</v>
      </c>
      <c r="F9" s="270">
        <v>1.9199367380112438</v>
      </c>
      <c r="G9" s="271">
        <v>0.12746307137418766</v>
      </c>
      <c r="H9" s="274">
        <v>8.7807893613329278E-3</v>
      </c>
      <c r="I9" s="507">
        <v>4.5092077976041908E-2</v>
      </c>
      <c r="P9" s="389"/>
      <c r="Q9" s="389"/>
      <c r="R9" s="301"/>
      <c r="S9" s="301"/>
    </row>
    <row r="10" spans="2:19">
      <c r="B10" s="269" t="s">
        <v>14</v>
      </c>
      <c r="C10" s="269" t="s">
        <v>247</v>
      </c>
      <c r="D10" s="269" t="s">
        <v>12</v>
      </c>
      <c r="E10" s="270">
        <v>1.4987645024089264</v>
      </c>
      <c r="F10" s="270">
        <v>1.4005716985584453</v>
      </c>
      <c r="G10" s="506">
        <v>9.1864369506687221E-2</v>
      </c>
      <c r="H10" s="274">
        <v>6.3284343437940106E-3</v>
      </c>
      <c r="I10" s="507">
        <v>4.487116793957998E-2</v>
      </c>
      <c r="P10" s="389"/>
      <c r="Q10" s="389"/>
      <c r="R10" s="301"/>
      <c r="S10" s="301"/>
    </row>
    <row r="11" spans="2:19">
      <c r="B11" s="275" t="s">
        <v>251</v>
      </c>
      <c r="C11" s="269" t="s">
        <v>247</v>
      </c>
      <c r="D11" s="275" t="s">
        <v>12</v>
      </c>
      <c r="E11" s="270">
        <f>C59</f>
        <v>1.9219286058244447</v>
      </c>
      <c r="F11" s="270">
        <f>D59</f>
        <v>1.7943327295040175</v>
      </c>
      <c r="G11" s="271">
        <f>E59</f>
        <v>0.11937244146401697</v>
      </c>
      <c r="H11" s="274">
        <f>F59</f>
        <v>8.2234348564100609E-3</v>
      </c>
      <c r="I11" s="273">
        <f>I9</f>
        <v>4.5092077976041908E-2</v>
      </c>
      <c r="P11" s="389"/>
      <c r="Q11" s="389"/>
      <c r="R11" s="301"/>
      <c r="S11" s="301"/>
    </row>
    <row r="12" spans="2:19">
      <c r="B12" s="275"/>
      <c r="C12" s="269"/>
      <c r="D12" s="275"/>
      <c r="E12" s="270"/>
      <c r="F12" s="276"/>
      <c r="G12" s="270"/>
      <c r="H12" s="272"/>
      <c r="I12" s="273"/>
      <c r="P12" s="389"/>
      <c r="Q12" s="392"/>
      <c r="R12" s="301"/>
      <c r="S12" s="301"/>
    </row>
    <row r="13" spans="2:19">
      <c r="B13" s="275" t="s">
        <v>7</v>
      </c>
      <c r="C13" s="275" t="s">
        <v>8</v>
      </c>
      <c r="D13" s="275" t="s">
        <v>9</v>
      </c>
      <c r="E13" s="512">
        <v>0.192376577903171</v>
      </c>
      <c r="F13" s="512">
        <v>0.18998480990317099</v>
      </c>
      <c r="G13" s="513">
        <v>8.1648000000000002E-5</v>
      </c>
      <c r="H13" s="508">
        <v>2.3101199999999997E-3</v>
      </c>
      <c r="I13" s="507">
        <v>2.4451206568711723E-2</v>
      </c>
      <c r="P13" s="389"/>
      <c r="Q13" s="127"/>
      <c r="R13" s="389"/>
      <c r="S13" s="301"/>
    </row>
    <row r="14" spans="2:19">
      <c r="B14" s="275"/>
      <c r="C14" s="275"/>
      <c r="D14" s="275" t="s">
        <v>10</v>
      </c>
      <c r="E14" s="514">
        <v>53.437938306436472</v>
      </c>
      <c r="F14" s="514">
        <v>52.773558306436499</v>
      </c>
      <c r="G14" s="506">
        <v>2.2679999999999999E-2</v>
      </c>
      <c r="H14" s="512">
        <v>0.64170000000000005</v>
      </c>
      <c r="I14" s="507">
        <v>2.4451206568711723E-2</v>
      </c>
      <c r="P14" s="389"/>
      <c r="Q14" s="126"/>
      <c r="R14" s="301"/>
      <c r="S14" s="301"/>
    </row>
    <row r="15" spans="2:19">
      <c r="B15" s="275"/>
      <c r="C15" s="275"/>
      <c r="D15" s="275"/>
      <c r="E15" s="276"/>
      <c r="F15" s="276"/>
      <c r="G15" s="276"/>
      <c r="H15" s="276"/>
      <c r="I15" s="273"/>
      <c r="P15" s="389"/>
      <c r="Q15" s="392"/>
      <c r="R15" s="301"/>
      <c r="S15" s="301"/>
    </row>
    <row r="16" spans="2:19">
      <c r="B16" s="275" t="s">
        <v>11</v>
      </c>
      <c r="C16" s="275" t="s">
        <v>8</v>
      </c>
      <c r="D16" s="275" t="s">
        <v>12</v>
      </c>
      <c r="E16" s="505">
        <v>2.6177668864848167</v>
      </c>
      <c r="F16" s="505">
        <v>2.59955901532238</v>
      </c>
      <c r="G16" s="508">
        <v>5.9373492921004391E-3</v>
      </c>
      <c r="H16" s="506">
        <v>1.227052187034091E-2</v>
      </c>
      <c r="I16" s="507">
        <v>3.4853942275711397E-2</v>
      </c>
      <c r="P16" s="389"/>
      <c r="Q16" s="125"/>
      <c r="R16" s="301"/>
      <c r="S16" s="301"/>
    </row>
    <row r="17" spans="2:22">
      <c r="B17" s="275" t="s">
        <v>13</v>
      </c>
      <c r="C17" s="275" t="s">
        <v>8</v>
      </c>
      <c r="D17" s="275" t="s">
        <v>12</v>
      </c>
      <c r="E17" s="505">
        <v>1.9329662964183829</v>
      </c>
      <c r="F17" s="505">
        <v>1.9199367380112438</v>
      </c>
      <c r="G17" s="508">
        <v>4.2487690458062558E-3</v>
      </c>
      <c r="H17" s="508">
        <v>8.7807893613329295E-3</v>
      </c>
      <c r="I17" s="507">
        <v>3.4855526247071771E-2</v>
      </c>
      <c r="P17" s="389"/>
      <c r="Q17" s="125"/>
      <c r="R17" s="301"/>
      <c r="S17" s="301"/>
    </row>
    <row r="18" spans="2:22">
      <c r="B18" s="275" t="s">
        <v>14</v>
      </c>
      <c r="C18" s="275" t="s">
        <v>8</v>
      </c>
      <c r="D18" s="275" t="s">
        <v>12</v>
      </c>
      <c r="E18" s="505">
        <v>1.4099622785524621</v>
      </c>
      <c r="F18" s="505">
        <v>1.4005716985584453</v>
      </c>
      <c r="G18" s="508">
        <v>3.0621456502229086E-3</v>
      </c>
      <c r="H18" s="508">
        <v>6.3284343437940106E-3</v>
      </c>
      <c r="I18" s="507">
        <v>3.4856168416973254E-2</v>
      </c>
      <c r="P18" s="389"/>
      <c r="Q18" s="125"/>
      <c r="R18" s="301"/>
      <c r="S18" s="301"/>
    </row>
    <row r="19" spans="2:22">
      <c r="B19" s="275" t="s">
        <v>251</v>
      </c>
      <c r="C19" s="275" t="s">
        <v>8</v>
      </c>
      <c r="D19" s="275" t="s">
        <v>12</v>
      </c>
      <c r="E19" s="270">
        <f>C57</f>
        <v>1.7176685177243882</v>
      </c>
      <c r="F19" s="270">
        <f>D57</f>
        <v>1.7061234741761602</v>
      </c>
      <c r="G19" s="274">
        <f>E57</f>
        <v>3.7646881135527132E-3</v>
      </c>
      <c r="H19" s="274">
        <f>F57</f>
        <v>7.7803554346756081E-3</v>
      </c>
      <c r="I19" s="273">
        <f>I17</f>
        <v>3.4855526247071771E-2</v>
      </c>
      <c r="L19" s="46"/>
      <c r="M19" s="46"/>
      <c r="N19" s="46"/>
      <c r="O19" s="46"/>
      <c r="P19" s="389"/>
      <c r="Q19" s="389"/>
      <c r="R19" s="301"/>
      <c r="S19" s="301"/>
    </row>
    <row r="20" spans="2:22">
      <c r="B20" s="275"/>
      <c r="C20" s="275"/>
      <c r="D20" s="275"/>
      <c r="E20" s="276"/>
      <c r="F20" s="276"/>
      <c r="G20" s="270"/>
      <c r="H20" s="274"/>
      <c r="I20" s="273"/>
      <c r="P20" s="389"/>
      <c r="Q20" s="392"/>
      <c r="R20" s="301"/>
      <c r="S20" s="301"/>
      <c r="V20" s="277"/>
    </row>
    <row r="21" spans="2:22">
      <c r="B21" s="275" t="s">
        <v>15</v>
      </c>
      <c r="C21" s="275" t="s">
        <v>8</v>
      </c>
      <c r="D21" s="275" t="s">
        <v>16</v>
      </c>
      <c r="E21" s="505">
        <v>2.6595446934535234</v>
      </c>
      <c r="F21" s="505">
        <v>2.6544781817301502</v>
      </c>
      <c r="G21" s="515">
        <v>5.3696987983884565E-4</v>
      </c>
      <c r="H21" s="508">
        <v>4.5295418435385617E-3</v>
      </c>
      <c r="I21" s="507">
        <v>5.0636143874531652E-3</v>
      </c>
      <c r="L21" s="46"/>
      <c r="M21" s="46"/>
      <c r="N21" s="46"/>
      <c r="O21" s="46"/>
      <c r="P21" s="389"/>
      <c r="Q21" s="125"/>
      <c r="R21" s="301"/>
      <c r="S21" s="301"/>
      <c r="U21" s="277"/>
      <c r="V21" s="277"/>
    </row>
    <row r="22" spans="2:22">
      <c r="B22" s="275" t="s">
        <v>253</v>
      </c>
      <c r="C22" s="275" t="s">
        <v>8</v>
      </c>
      <c r="D22" s="275" t="s">
        <v>12</v>
      </c>
      <c r="E22" s="505">
        <v>3.0016481850000005</v>
      </c>
      <c r="F22" s="505">
        <v>2.99112</v>
      </c>
      <c r="G22" s="508">
        <v>1.1630849999999999E-3</v>
      </c>
      <c r="H22" s="508">
        <v>9.3650999999999995E-3</v>
      </c>
      <c r="I22" s="507">
        <v>5.2245619675286951E-3</v>
      </c>
      <c r="L22" s="46"/>
      <c r="M22" s="46"/>
      <c r="N22" s="46"/>
      <c r="O22" s="46"/>
      <c r="P22" s="389"/>
      <c r="Q22" s="125"/>
      <c r="R22" s="301"/>
      <c r="S22" s="301"/>
    </row>
    <row r="23" spans="2:22">
      <c r="B23" s="275" t="s">
        <v>18</v>
      </c>
      <c r="C23" s="275" t="s">
        <v>8</v>
      </c>
      <c r="D23" s="275" t="s">
        <v>16</v>
      </c>
      <c r="E23" s="505">
        <v>2.9928835725234837</v>
      </c>
      <c r="F23" s="505">
        <v>2.9881075813200204</v>
      </c>
      <c r="G23" s="508">
        <v>1.1471743576946078E-3</v>
      </c>
      <c r="H23" s="508">
        <v>3.6288168457686578E-3</v>
      </c>
      <c r="I23" s="507">
        <v>5.0323485988311798E-3</v>
      </c>
      <c r="L23" s="371"/>
      <c r="P23" s="389"/>
      <c r="Q23" s="125"/>
      <c r="R23" s="301"/>
      <c r="S23" s="301"/>
    </row>
    <row r="24" spans="2:22">
      <c r="B24" s="275" t="s">
        <v>19</v>
      </c>
      <c r="C24" s="275" t="s">
        <v>8</v>
      </c>
      <c r="D24" s="275" t="s">
        <v>16</v>
      </c>
      <c r="E24" s="505">
        <v>2.93747756131819</v>
      </c>
      <c r="F24" s="505">
        <v>2.9327509079907772</v>
      </c>
      <c r="G24" s="508">
        <v>1.1353235933489407E-3</v>
      </c>
      <c r="H24" s="508">
        <v>3.5913297340629756E-3</v>
      </c>
      <c r="I24" s="507">
        <v>5.0329550589521474E-3</v>
      </c>
      <c r="P24" s="389"/>
      <c r="Q24" s="125"/>
      <c r="R24" s="301"/>
      <c r="S24" s="301"/>
    </row>
    <row r="25" spans="2:22">
      <c r="B25" s="275"/>
      <c r="C25" s="275"/>
      <c r="D25" s="275"/>
      <c r="E25" s="270"/>
      <c r="F25" s="276"/>
      <c r="G25" s="271"/>
      <c r="H25" s="271"/>
      <c r="I25" s="273"/>
      <c r="P25" s="389"/>
      <c r="Q25" s="392"/>
      <c r="R25" s="301"/>
      <c r="S25" s="301"/>
    </row>
    <row r="26" spans="2:22" ht="12.75" customHeight="1">
      <c r="B26" s="275" t="s">
        <v>7</v>
      </c>
      <c r="C26" s="275" t="s">
        <v>20</v>
      </c>
      <c r="D26" s="275" t="s">
        <v>9</v>
      </c>
      <c r="E26" s="512">
        <v>0.19018050590317129</v>
      </c>
      <c r="F26" s="512">
        <v>0.18998480990317099</v>
      </c>
      <c r="G26" s="513">
        <v>9.5256000000000011E-5</v>
      </c>
      <c r="H26" s="515">
        <v>1.0043999999999998E-4</v>
      </c>
      <c r="I26" s="507">
        <v>2.3978065991140007E-2</v>
      </c>
      <c r="P26" s="389"/>
      <c r="Q26" s="127"/>
      <c r="R26" s="301"/>
      <c r="S26" s="398"/>
    </row>
    <row r="27" spans="2:22" ht="15" customHeight="1">
      <c r="B27" s="275"/>
      <c r="C27" s="275"/>
      <c r="D27" s="275" t="s">
        <v>10</v>
      </c>
      <c r="E27" s="514">
        <v>52.827918306436501</v>
      </c>
      <c r="F27" s="514">
        <v>52.77355830643647</v>
      </c>
      <c r="G27" s="506">
        <v>2.6460000000000001E-2</v>
      </c>
      <c r="H27" s="506">
        <v>2.7899999999999998E-2</v>
      </c>
      <c r="I27" s="507">
        <v>2.3978065991140007E-2</v>
      </c>
      <c r="P27" s="389"/>
      <c r="Q27" s="126"/>
      <c r="R27" s="301"/>
      <c r="S27" s="301"/>
    </row>
    <row r="28" spans="2:22" ht="15" customHeight="1">
      <c r="B28" s="275"/>
      <c r="C28" s="275"/>
      <c r="D28" s="275"/>
      <c r="E28" s="276"/>
      <c r="F28" s="276"/>
      <c r="G28" s="270"/>
      <c r="H28" s="270"/>
      <c r="I28" s="273"/>
      <c r="P28" s="389"/>
      <c r="Q28" s="392"/>
      <c r="R28" s="301"/>
      <c r="S28" s="301"/>
    </row>
    <row r="29" spans="2:22">
      <c r="B29" s="275" t="s">
        <v>11</v>
      </c>
      <c r="C29" s="275" t="s">
        <v>20</v>
      </c>
      <c r="D29" s="275" t="s">
        <v>12</v>
      </c>
      <c r="E29" s="505">
        <v>2.61399808333893</v>
      </c>
      <c r="F29" s="505">
        <v>2.5995590153223755</v>
      </c>
      <c r="G29" s="515">
        <v>4.1561445044703083E-4</v>
      </c>
      <c r="H29" s="506">
        <v>1.4023453566103896E-2</v>
      </c>
      <c r="I29" s="507">
        <v>3.4909964998453877E-2</v>
      </c>
      <c r="P29" s="389"/>
      <c r="Q29" s="125"/>
      <c r="R29" s="301"/>
      <c r="S29" s="301"/>
    </row>
    <row r="30" spans="2:22">
      <c r="B30" s="275" t="s">
        <v>13</v>
      </c>
      <c r="C30" s="275" t="s">
        <v>20</v>
      </c>
      <c r="D30" s="275" t="s">
        <v>12</v>
      </c>
      <c r="E30" s="505">
        <v>1.9302693396859734</v>
      </c>
      <c r="F30" s="505">
        <v>1.9199367380112438</v>
      </c>
      <c r="G30" s="515">
        <v>2.9741383320643793E-4</v>
      </c>
      <c r="H30" s="506">
        <v>1.0035187841523349E-2</v>
      </c>
      <c r="I30" s="507">
        <v>3.4909645817358115E-2</v>
      </c>
      <c r="P30" s="389"/>
      <c r="Q30" s="125"/>
      <c r="R30" s="301"/>
      <c r="S30" s="301"/>
    </row>
    <row r="31" spans="2:22">
      <c r="B31" s="275" t="s">
        <v>14</v>
      </c>
      <c r="C31" s="275" t="s">
        <v>20</v>
      </c>
      <c r="D31" s="275" t="s">
        <v>12</v>
      </c>
      <c r="E31" s="505">
        <v>1.4080185451468683</v>
      </c>
      <c r="F31" s="505">
        <v>1.4005716985584453</v>
      </c>
      <c r="G31" s="515">
        <v>2.1435019551560358E-4</v>
      </c>
      <c r="H31" s="508">
        <v>7.2324963929074407E-3</v>
      </c>
      <c r="I31" s="507">
        <v>3.4909577253016161E-2</v>
      </c>
      <c r="P31" s="389"/>
      <c r="Q31" s="125"/>
      <c r="R31" s="301"/>
      <c r="S31" s="301"/>
    </row>
    <row r="32" spans="2:22">
      <c r="B32" s="275" t="s">
        <v>251</v>
      </c>
      <c r="C32" s="275" t="s">
        <v>20</v>
      </c>
      <c r="D32" s="275" t="s">
        <v>12</v>
      </c>
      <c r="E32" s="270">
        <f>C58</f>
        <v>2.0766707451556425</v>
      </c>
      <c r="F32" s="270">
        <f>D58</f>
        <v>2.0654181185773082</v>
      </c>
      <c r="G32" s="516">
        <f>E58</f>
        <v>3.2389585020853724E-4</v>
      </c>
      <c r="H32" s="272">
        <f>F58</f>
        <v>1.0928730728124796E-2</v>
      </c>
      <c r="I32" s="273">
        <f>I30</f>
        <v>3.4909645817358115E-2</v>
      </c>
      <c r="S32" s="301"/>
    </row>
    <row r="33" spans="2:19">
      <c r="B33" s="275"/>
      <c r="C33" s="275"/>
      <c r="D33" s="275"/>
      <c r="E33" s="276"/>
      <c r="F33" s="276"/>
      <c r="G33" s="270"/>
      <c r="H33" s="272"/>
      <c r="I33" s="273"/>
      <c r="S33" s="301"/>
    </row>
    <row r="34" spans="2:19">
      <c r="B34" s="275" t="s">
        <v>15</v>
      </c>
      <c r="C34" s="275" t="s">
        <v>20</v>
      </c>
      <c r="D34" s="275" t="s">
        <v>16</v>
      </c>
      <c r="E34" s="505">
        <v>2.6591611435393498</v>
      </c>
      <c r="F34" s="505">
        <v>2.6544781817301457</v>
      </c>
      <c r="G34" s="515">
        <v>1.5341996566824159E-4</v>
      </c>
      <c r="H34" s="508">
        <v>4.5295418435385617E-3</v>
      </c>
      <c r="I34" s="507">
        <v>5.063420362928118E-3</v>
      </c>
      <c r="S34" s="301"/>
    </row>
    <row r="35" spans="2:19">
      <c r="B35" s="275" t="s">
        <v>253</v>
      </c>
      <c r="C35" s="275" t="s">
        <v>20</v>
      </c>
      <c r="D35" s="275" t="s">
        <v>12</v>
      </c>
      <c r="E35" s="505">
        <v>3.0016481850000005</v>
      </c>
      <c r="F35" s="505">
        <v>2.9911200000000004</v>
      </c>
      <c r="G35" s="508">
        <v>1.1630849999999999E-3</v>
      </c>
      <c r="H35" s="508">
        <v>9.3650999999999995E-3</v>
      </c>
      <c r="I35" s="507">
        <v>5.2245619675286951E-3</v>
      </c>
      <c r="P35" s="389"/>
      <c r="Q35" s="125"/>
      <c r="R35" s="301"/>
      <c r="S35" s="301"/>
    </row>
    <row r="36" spans="2:19">
      <c r="B36" s="275" t="s">
        <v>18</v>
      </c>
      <c r="C36" s="275" t="s">
        <v>20</v>
      </c>
      <c r="D36" s="275" t="s">
        <v>16</v>
      </c>
      <c r="E36" s="505">
        <v>2.9941946289322776</v>
      </c>
      <c r="F36" s="505">
        <v>2.9881075813200204</v>
      </c>
      <c r="G36" s="508">
        <v>2.4582307664884457E-3</v>
      </c>
      <c r="H36" s="508">
        <v>3.6288168457686578E-3</v>
      </c>
      <c r="I36" s="507">
        <v>5.0432303044354197E-3</v>
      </c>
      <c r="P36" s="389"/>
      <c r="Q36" s="125"/>
      <c r="R36" s="301"/>
      <c r="S36" s="301"/>
    </row>
    <row r="37" spans="2:19">
      <c r="B37" s="275" t="s">
        <v>19</v>
      </c>
      <c r="C37" s="275" t="s">
        <v>20</v>
      </c>
      <c r="D37" s="275" t="s">
        <v>16</v>
      </c>
      <c r="E37" s="505">
        <v>2.9387750739963021</v>
      </c>
      <c r="F37" s="505">
        <v>2.9327509079907772</v>
      </c>
      <c r="G37" s="508">
        <v>2.4328362714620159E-3</v>
      </c>
      <c r="H37" s="508">
        <v>3.5913297340629756E-3</v>
      </c>
      <c r="I37" s="507">
        <v>5.0440352785068986E-3</v>
      </c>
      <c r="K37" s="371"/>
      <c r="P37" s="389"/>
      <c r="Q37" s="125"/>
      <c r="R37" s="301"/>
      <c r="S37" s="301"/>
    </row>
    <row r="38" spans="2:19">
      <c r="B38" s="275"/>
      <c r="C38" s="275"/>
      <c r="D38" s="275"/>
      <c r="E38" s="276"/>
      <c r="F38" s="276"/>
      <c r="G38" s="271"/>
      <c r="H38" s="271"/>
      <c r="I38" s="273"/>
      <c r="P38" s="389"/>
      <c r="Q38" s="392"/>
      <c r="R38" s="301"/>
      <c r="S38" s="301"/>
    </row>
    <row r="39" spans="2:19" ht="14.25">
      <c r="B39" s="275" t="s">
        <v>21</v>
      </c>
      <c r="C39" s="275" t="s">
        <v>254</v>
      </c>
      <c r="D39" s="275" t="s">
        <v>12</v>
      </c>
      <c r="E39" s="506">
        <v>1.4225917500000001E-2</v>
      </c>
      <c r="F39" s="505">
        <v>1.00298055</v>
      </c>
      <c r="G39" s="508">
        <v>2.8817775E-3</v>
      </c>
      <c r="H39" s="506">
        <v>1.1344140000000001E-2</v>
      </c>
      <c r="I39" s="507">
        <v>0.41137769057785101</v>
      </c>
      <c r="K39" s="278"/>
      <c r="P39" s="390"/>
      <c r="Q39" s="125"/>
      <c r="R39" s="301"/>
      <c r="S39" s="301"/>
    </row>
    <row r="40" spans="2:19" ht="14.25">
      <c r="B40" s="275" t="s">
        <v>21</v>
      </c>
      <c r="C40" s="275" t="s">
        <v>255</v>
      </c>
      <c r="D40" s="275" t="s">
        <v>12</v>
      </c>
      <c r="E40" s="506">
        <v>6.8979689999999996E-2</v>
      </c>
      <c r="F40" s="505">
        <v>1.00298055</v>
      </c>
      <c r="G40" s="506">
        <v>5.7635549999999994E-2</v>
      </c>
      <c r="H40" s="506">
        <v>1.1344140000000001E-2</v>
      </c>
      <c r="I40" s="507">
        <v>0.42578728215478601</v>
      </c>
      <c r="K40" s="278"/>
      <c r="P40" s="391"/>
      <c r="Q40" s="125"/>
      <c r="R40" s="301"/>
      <c r="S40" s="301"/>
    </row>
    <row r="42" spans="2:19" ht="34.5" customHeight="1">
      <c r="B42" s="755" t="s">
        <v>522</v>
      </c>
      <c r="C42" s="756"/>
      <c r="D42" s="756"/>
      <c r="E42" s="756"/>
      <c r="F42" s="756"/>
      <c r="G42" s="756"/>
      <c r="H42" s="756"/>
      <c r="I42" s="756"/>
    </row>
    <row r="44" spans="2:19" ht="25.5" customHeight="1">
      <c r="B44" s="757" t="s">
        <v>268</v>
      </c>
      <c r="C44" s="757"/>
      <c r="D44" s="757"/>
      <c r="E44" s="757"/>
      <c r="F44" s="757"/>
      <c r="G44" s="757"/>
      <c r="H44" s="757"/>
      <c r="I44" s="757"/>
    </row>
    <row r="45" spans="2:19">
      <c r="B45" s="78" t="s">
        <v>252</v>
      </c>
    </row>
    <row r="46" spans="2:19" ht="31.5" customHeight="1">
      <c r="B46" s="752" t="s">
        <v>424</v>
      </c>
      <c r="C46" s="752"/>
      <c r="D46" s="752"/>
      <c r="E46" s="752"/>
      <c r="F46" s="752"/>
      <c r="G46" s="752"/>
      <c r="H46" s="752"/>
      <c r="I46" s="752"/>
      <c r="J46" s="124"/>
      <c r="K46" s="124"/>
      <c r="L46" s="124"/>
      <c r="M46" s="124"/>
      <c r="N46" s="124"/>
      <c r="O46" s="124"/>
      <c r="P46" s="124"/>
    </row>
    <row r="47" spans="2:19" ht="54" customHeight="1">
      <c r="B47" s="755" t="s">
        <v>502</v>
      </c>
      <c r="C47" s="756"/>
      <c r="D47" s="756"/>
      <c r="E47" s="756"/>
      <c r="F47" s="756"/>
      <c r="G47" s="756"/>
      <c r="H47" s="756"/>
      <c r="I47" s="756"/>
    </row>
    <row r="50" spans="2:14" ht="13.5" thickBot="1">
      <c r="D50" s="78" t="s">
        <v>248</v>
      </c>
    </row>
    <row r="51" spans="2:14">
      <c r="B51" s="279" t="s">
        <v>235</v>
      </c>
      <c r="C51" s="712" t="s">
        <v>239</v>
      </c>
      <c r="D51" s="713" t="s">
        <v>249</v>
      </c>
      <c r="E51" s="714" t="s">
        <v>8</v>
      </c>
      <c r="F51" s="714" t="s">
        <v>247</v>
      </c>
      <c r="G51" s="280"/>
      <c r="H51" s="280"/>
      <c r="I51" s="280"/>
      <c r="J51" s="281"/>
    </row>
    <row r="52" spans="2:14">
      <c r="B52" s="282" t="s">
        <v>236</v>
      </c>
      <c r="C52" s="517">
        <v>2945.0988813711801</v>
      </c>
      <c r="D52" s="518">
        <v>2712.0344086662631</v>
      </c>
      <c r="E52" s="517">
        <v>45.078397530423281</v>
      </c>
      <c r="F52" s="517">
        <v>55.742422110031903</v>
      </c>
      <c r="G52" s="283"/>
      <c r="H52" s="283"/>
      <c r="I52" s="283"/>
      <c r="J52" s="284"/>
    </row>
    <row r="53" spans="2:14">
      <c r="B53" s="282" t="s">
        <v>237</v>
      </c>
      <c r="C53" s="517">
        <v>16517.119156912784</v>
      </c>
      <c r="D53" s="518">
        <v>4005.5747504150759</v>
      </c>
      <c r="E53" s="517">
        <v>708.84097564215301</v>
      </c>
      <c r="F53" s="517">
        <v>203.32326618888169</v>
      </c>
      <c r="G53" s="283"/>
      <c r="H53" s="283"/>
      <c r="I53" s="283"/>
      <c r="J53" s="284"/>
    </row>
    <row r="54" spans="2:14">
      <c r="B54" s="282" t="s">
        <v>238</v>
      </c>
      <c r="C54" s="517">
        <v>5062.6137915004765</v>
      </c>
      <c r="D54" s="518">
        <v>1302.3638547575465</v>
      </c>
      <c r="E54" s="517">
        <v>627.82893225173677</v>
      </c>
      <c r="F54" s="517">
        <v>178.84827405386329</v>
      </c>
      <c r="G54" s="283"/>
      <c r="H54" s="283"/>
      <c r="I54" s="283"/>
      <c r="J54" s="284"/>
    </row>
    <row r="55" spans="2:14">
      <c r="B55" s="282"/>
      <c r="C55" s="283"/>
      <c r="D55" s="283"/>
      <c r="E55" s="283"/>
      <c r="F55" s="283"/>
      <c r="G55" s="283"/>
      <c r="H55" s="283"/>
      <c r="I55" s="283"/>
      <c r="J55" s="284"/>
    </row>
    <row r="56" spans="2:14" ht="15.75">
      <c r="B56" s="282"/>
      <c r="C56" s="711" t="s">
        <v>227</v>
      </c>
      <c r="D56" s="711" t="s">
        <v>228</v>
      </c>
      <c r="E56" s="711" t="s">
        <v>229</v>
      </c>
      <c r="F56" s="711" t="s">
        <v>230</v>
      </c>
      <c r="G56" s="711" t="s">
        <v>250</v>
      </c>
      <c r="H56" s="283"/>
      <c r="I56" s="283"/>
      <c r="J56" s="284"/>
    </row>
    <row r="57" spans="2:14">
      <c r="B57" s="282" t="s">
        <v>234</v>
      </c>
      <c r="C57" s="343">
        <f>(E16*$E$52+E17*$E$53+E18*$E$54)/($E$52+$E$53+$E$54)</f>
        <v>1.7176685177243882</v>
      </c>
      <c r="D57" s="343">
        <f>(F16*$E$52+F17*$E$53+F18*$E$54)/($E$52+$E$53+$E$54)</f>
        <v>1.7061234741761602</v>
      </c>
      <c r="E57" s="399">
        <f>(G16*$E$52+G17*$E$53+G18*$E$54)/($E$52+$E$53+$E$54)</f>
        <v>3.7646881135527132E-3</v>
      </c>
      <c r="F57" s="399">
        <f>(H16*$E$52+H17*$E$53+H18*$E$54)/($E$52+$E$53+$E$54)</f>
        <v>7.7803554346756081E-3</v>
      </c>
      <c r="G57" s="285">
        <f>C57-SUM(D57:F57)</f>
        <v>0</v>
      </c>
      <c r="H57" s="283"/>
      <c r="I57" s="283"/>
      <c r="J57" s="284"/>
    </row>
    <row r="58" spans="2:14">
      <c r="B58" s="282" t="s">
        <v>242</v>
      </c>
      <c r="C58" s="343">
        <f>(E29*$D$52+E30*$D$53+E31*$D$54)/($D$52+$D$53+$D$54)</f>
        <v>2.0766707451556425</v>
      </c>
      <c r="D58" s="343">
        <f>(F29*$D$52+F30*$D$53+F31*$D$54)/($D$52+$D$53+$D$54)</f>
        <v>2.0654181185773082</v>
      </c>
      <c r="E58" s="417">
        <f>(G29*$D$52+G30*$D$53+G31*$D$54)/($D$52+$D$53+$D$54)</f>
        <v>3.2389585020853724E-4</v>
      </c>
      <c r="F58" s="418">
        <f>(H29*$D$52+H30*$D$53+H31*$D$54)/($D$52+$D$53+$D$54)</f>
        <v>1.0928730728124796E-2</v>
      </c>
      <c r="G58" s="285">
        <f>C58-SUM(D58:F58)</f>
        <v>0</v>
      </c>
      <c r="H58" s="283"/>
      <c r="I58" s="283"/>
      <c r="J58" s="284"/>
    </row>
    <row r="59" spans="2:14">
      <c r="B59" s="282" t="s">
        <v>397</v>
      </c>
      <c r="C59" s="343">
        <f>(E8*F52+E9*F53+E10*F54)/(F52+F53+F54)</f>
        <v>1.9219286058244447</v>
      </c>
      <c r="D59" s="343">
        <f>(F8*F52+F9*F53+F10*F54)/(F52+F53+F54)</f>
        <v>1.7943327295040175</v>
      </c>
      <c r="E59" s="416">
        <f>(G8*F52+G9*F53+G10*F54)/(F52+F53+F54)</f>
        <v>0.11937244146401697</v>
      </c>
      <c r="F59" s="399">
        <f>(H8*F52+H9*F53+H10*F54)/(F52+F53+F54)</f>
        <v>8.2234348564100609E-3</v>
      </c>
      <c r="G59" s="285">
        <f>C59-SUM(D59:F59)</f>
        <v>0</v>
      </c>
      <c r="H59" s="283"/>
      <c r="I59" s="283"/>
      <c r="J59" s="284"/>
      <c r="N59" s="277"/>
    </row>
    <row r="60" spans="2:14">
      <c r="B60" s="282" t="s">
        <v>256</v>
      </c>
      <c r="C60" s="283"/>
      <c r="D60" s="283"/>
      <c r="E60" s="283"/>
      <c r="F60" s="283"/>
      <c r="G60" s="283"/>
      <c r="H60" s="283"/>
      <c r="I60" s="283"/>
      <c r="J60" s="284"/>
    </row>
    <row r="61" spans="2:14">
      <c r="B61" s="282"/>
      <c r="C61" s="283"/>
      <c r="D61" s="283"/>
      <c r="E61" s="283"/>
      <c r="F61" s="283"/>
      <c r="G61" s="283"/>
      <c r="H61" s="283"/>
      <c r="I61" s="283"/>
      <c r="J61" s="286"/>
    </row>
    <row r="62" spans="2:14">
      <c r="B62" s="287" t="s">
        <v>432</v>
      </c>
      <c r="C62" s="283"/>
      <c r="D62" s="283"/>
      <c r="E62" s="283"/>
      <c r="F62" s="283"/>
      <c r="G62" s="283"/>
      <c r="H62" s="283"/>
      <c r="I62" s="283"/>
      <c r="J62" s="286"/>
    </row>
    <row r="63" spans="2:14">
      <c r="B63" s="339" t="s">
        <v>420</v>
      </c>
      <c r="C63" s="288"/>
      <c r="D63" s="288"/>
      <c r="E63" s="288"/>
      <c r="F63" s="288"/>
      <c r="G63" s="288"/>
      <c r="H63" s="288"/>
      <c r="I63" s="283"/>
      <c r="J63" s="286"/>
    </row>
    <row r="64" spans="2:14" ht="13.5" thickBot="1">
      <c r="B64" s="289" t="s">
        <v>418</v>
      </c>
      <c r="C64" s="290"/>
      <c r="D64" s="290"/>
      <c r="E64" s="290"/>
      <c r="F64" s="290"/>
      <c r="G64" s="290"/>
      <c r="H64" s="290"/>
      <c r="I64" s="290"/>
      <c r="J64" s="291"/>
    </row>
    <row r="68" spans="2:11">
      <c r="C68" s="341"/>
      <c r="D68" s="341"/>
      <c r="E68" s="341"/>
    </row>
    <row r="69" spans="2:11">
      <c r="C69" s="341"/>
      <c r="D69" s="341"/>
      <c r="E69" s="341"/>
    </row>
    <row r="70" spans="2:11">
      <c r="B70" s="48" t="s">
        <v>453</v>
      </c>
    </row>
    <row r="71" spans="2:11">
      <c r="C71"/>
      <c r="D71"/>
      <c r="E71"/>
      <c r="F71" s="223"/>
      <c r="G71" s="223"/>
      <c r="H71" s="223"/>
      <c r="I71" s="340"/>
    </row>
    <row r="72" spans="2:11" ht="27" customHeight="1">
      <c r="B72" s="710" t="s">
        <v>457</v>
      </c>
      <c r="C72" s="423" t="s">
        <v>478</v>
      </c>
      <c r="D72" s="423" t="s">
        <v>479</v>
      </c>
      <c r="E72" s="424" t="s">
        <v>480</v>
      </c>
      <c r="F72" s="380"/>
      <c r="G72" s="380"/>
      <c r="H72" s="381"/>
      <c r="I72" s="301"/>
      <c r="J72" s="301"/>
      <c r="K72" s="301"/>
    </row>
    <row r="73" spans="2:11" ht="15">
      <c r="B73" s="373" t="s">
        <v>455</v>
      </c>
      <c r="C73" s="560">
        <v>1</v>
      </c>
      <c r="D73" s="561">
        <v>21</v>
      </c>
      <c r="E73" s="562">
        <v>310</v>
      </c>
      <c r="F73" s="380"/>
      <c r="G73" s="380"/>
      <c r="H73" s="381"/>
      <c r="I73" s="301"/>
      <c r="J73" s="301"/>
      <c r="K73" s="301"/>
    </row>
    <row r="74" spans="2:11">
      <c r="B74" s="50" t="s">
        <v>456</v>
      </c>
      <c r="C74" s="563">
        <v>1</v>
      </c>
      <c r="D74" s="563">
        <v>25</v>
      </c>
      <c r="E74" s="563">
        <v>298</v>
      </c>
      <c r="F74" s="301"/>
      <c r="G74" s="301"/>
      <c r="H74" s="301"/>
      <c r="I74" s="301"/>
      <c r="J74" s="301"/>
      <c r="K74" s="301"/>
    </row>
    <row r="75" spans="2:11">
      <c r="B75" s="50" t="s">
        <v>454</v>
      </c>
      <c r="C75" s="564" t="s">
        <v>212</v>
      </c>
      <c r="D75" s="565">
        <f>D74/D73</f>
        <v>1.1904761904761905</v>
      </c>
      <c r="E75" s="566">
        <f>E74/E73</f>
        <v>0.96129032258064517</v>
      </c>
      <c r="F75" s="301"/>
      <c r="G75" s="301"/>
      <c r="H75" s="379"/>
      <c r="I75" s="301"/>
      <c r="J75" s="301"/>
      <c r="K75" s="301"/>
    </row>
    <row r="76" spans="2:11">
      <c r="B76" s="78" t="s">
        <v>485</v>
      </c>
      <c r="C76"/>
      <c r="D76"/>
      <c r="E76"/>
      <c r="F76" s="301"/>
      <c r="G76" s="379"/>
      <c r="H76" s="301"/>
      <c r="I76" s="301"/>
      <c r="J76" s="301"/>
      <c r="K76" s="301"/>
    </row>
    <row r="77" spans="2:11">
      <c r="B77" s="15" t="s">
        <v>487</v>
      </c>
      <c r="C77"/>
      <c r="D77"/>
      <c r="E77"/>
      <c r="F77" s="301"/>
      <c r="G77" s="301"/>
      <c r="H77" s="379"/>
      <c r="I77" s="379"/>
      <c r="J77" s="301"/>
      <c r="K77" s="301"/>
    </row>
    <row r="78" spans="2:11">
      <c r="B78" s="47" t="s">
        <v>458</v>
      </c>
      <c r="F78" s="301"/>
      <c r="G78" s="301"/>
      <c r="H78" s="301"/>
      <c r="I78" s="301"/>
      <c r="J78" s="301"/>
      <c r="K78" s="301"/>
    </row>
    <row r="79" spans="2:11">
      <c r="F79" s="301"/>
      <c r="G79" s="301"/>
      <c r="H79" s="301"/>
      <c r="I79" s="301"/>
      <c r="J79" s="301"/>
      <c r="K79" s="301"/>
    </row>
    <row r="80" spans="2:11">
      <c r="B80" s="301"/>
      <c r="C80" s="301"/>
      <c r="D80" s="301"/>
      <c r="E80" s="301"/>
      <c r="F80" s="301"/>
      <c r="G80" s="301"/>
      <c r="H80" s="301"/>
      <c r="I80" s="301"/>
      <c r="J80" s="301"/>
      <c r="K80" s="301"/>
    </row>
    <row r="81" spans="2:11">
      <c r="B81" s="301"/>
      <c r="C81" s="301"/>
      <c r="D81" s="301"/>
      <c r="E81" s="301"/>
      <c r="F81" s="301"/>
      <c r="G81" s="301"/>
      <c r="H81" s="301"/>
      <c r="I81" s="301"/>
      <c r="J81" s="301"/>
      <c r="K81" s="301"/>
    </row>
    <row r="82" spans="2:11">
      <c r="B82" s="91" t="s">
        <v>423</v>
      </c>
      <c r="C82" s="124"/>
      <c r="D82" s="124"/>
      <c r="E82" s="124"/>
      <c r="F82" s="124"/>
      <c r="G82" s="124"/>
      <c r="H82" s="124"/>
      <c r="I82" s="124"/>
      <c r="J82" s="301"/>
      <c r="K82" s="301"/>
    </row>
    <row r="83" spans="2:11">
      <c r="B83" s="397" t="s">
        <v>481</v>
      </c>
      <c r="J83" s="301"/>
      <c r="K83" s="301"/>
    </row>
    <row r="84" spans="2:11" ht="44.25">
      <c r="B84" s="344" t="s">
        <v>0</v>
      </c>
      <c r="C84" s="344" t="s">
        <v>1</v>
      </c>
      <c r="D84" s="344" t="s">
        <v>2</v>
      </c>
      <c r="E84" s="567" t="s">
        <v>3</v>
      </c>
      <c r="F84" s="567" t="s">
        <v>240</v>
      </c>
      <c r="G84" s="567" t="s">
        <v>225</v>
      </c>
      <c r="H84" s="567" t="s">
        <v>241</v>
      </c>
      <c r="I84" s="268" t="s">
        <v>226</v>
      </c>
      <c r="J84" s="301"/>
      <c r="K84" s="301"/>
    </row>
    <row r="85" spans="2:11">
      <c r="B85" s="81" t="s">
        <v>4</v>
      </c>
      <c r="C85" s="293"/>
      <c r="D85" s="293"/>
      <c r="E85" s="293"/>
      <c r="F85" s="293"/>
      <c r="G85" s="293"/>
      <c r="H85" s="293"/>
      <c r="I85" s="293"/>
      <c r="J85" s="301"/>
      <c r="K85" s="301"/>
    </row>
    <row r="86" spans="2:11">
      <c r="B86" s="269" t="s">
        <v>11</v>
      </c>
      <c r="C86" s="269" t="s">
        <v>247</v>
      </c>
      <c r="D86" s="269" t="s">
        <v>12</v>
      </c>
      <c r="E86" s="270">
        <f>SUM(F86:H86)</f>
        <v>2.8234027382529359</v>
      </c>
      <c r="F86" s="270">
        <v>2.5995590153223755</v>
      </c>
      <c r="G86" s="271">
        <f>G8*$D$75</f>
        <v>0.21204818900358713</v>
      </c>
      <c r="H86" s="272">
        <f>H8*$E$75</f>
        <v>1.1795533926972876E-2</v>
      </c>
      <c r="I86" s="507">
        <v>4.5687525475237946E-2</v>
      </c>
      <c r="J86" s="301"/>
      <c r="K86" s="301"/>
    </row>
    <row r="87" spans="2:11">
      <c r="B87" s="269" t="s">
        <v>13</v>
      </c>
      <c r="C87" s="269" t="s">
        <v>247</v>
      </c>
      <c r="D87" s="269" t="s">
        <v>12</v>
      </c>
      <c r="E87" s="270">
        <f t="shared" ref="E87:E114" si="0">SUM(F87:H87)</f>
        <v>2.0801193774848499</v>
      </c>
      <c r="F87" s="270">
        <v>1.9199367380112438</v>
      </c>
      <c r="G87" s="271">
        <f>G9*$D$75</f>
        <v>0.1517417516359377</v>
      </c>
      <c r="H87" s="274">
        <f>H9*$E$75</f>
        <v>8.440887837668427E-3</v>
      </c>
      <c r="I87" s="507">
        <v>4.5092077976041908E-2</v>
      </c>
      <c r="J87" s="301"/>
      <c r="K87" s="379"/>
    </row>
    <row r="88" spans="2:11">
      <c r="B88" s="269" t="s">
        <v>14</v>
      </c>
      <c r="C88" s="269" t="s">
        <v>247</v>
      </c>
      <c r="D88" s="269" t="s">
        <v>12</v>
      </c>
      <c r="E88" s="270">
        <f t="shared" si="0"/>
        <v>1.5160175059010397</v>
      </c>
      <c r="F88" s="270">
        <v>1.4005716985584453</v>
      </c>
      <c r="G88" s="271">
        <f>G10*$D$75</f>
        <v>0.10936234465081812</v>
      </c>
      <c r="H88" s="274">
        <f>H10*$E$75</f>
        <v>6.0834626917761784E-3</v>
      </c>
      <c r="I88" s="507">
        <v>4.487116793957998E-2</v>
      </c>
      <c r="J88" s="301"/>
      <c r="K88" s="391"/>
    </row>
    <row r="89" spans="2:11">
      <c r="B89" s="275" t="s">
        <v>251</v>
      </c>
      <c r="C89" s="269" t="s">
        <v>247</v>
      </c>
      <c r="D89" s="275" t="s">
        <v>12</v>
      </c>
      <c r="E89" s="270">
        <f>SUM(F89:H89)</f>
        <v>1.9443478872117816</v>
      </c>
      <c r="F89" s="270">
        <f>(F86*$F$52+F87*$F$53+F88*$F$54)/($F$52+$F$53+$F$54)</f>
        <v>1.7943327295040175</v>
      </c>
      <c r="G89" s="271">
        <f>(G86*$F$52+G87*$F$53+G88*$F$54)/($F$52+$F$53+$F$54)</f>
        <v>0.14211004936192498</v>
      </c>
      <c r="H89" s="274">
        <f>(H86*$F$52+H87*$F$53+H88*$F$54)/($F$52+$F$53+$F$54)</f>
        <v>7.9051083458393477E-3</v>
      </c>
      <c r="I89" s="273">
        <f>I87</f>
        <v>4.5092077976041908E-2</v>
      </c>
      <c r="J89" s="301"/>
      <c r="K89" s="301"/>
    </row>
    <row r="90" spans="2:11">
      <c r="B90" s="275"/>
      <c r="C90" s="269"/>
      <c r="D90" s="275"/>
      <c r="E90" s="270"/>
      <c r="F90" s="276"/>
      <c r="G90" s="271"/>
      <c r="H90" s="272"/>
      <c r="I90" s="273"/>
      <c r="J90" s="301"/>
      <c r="K90" s="301"/>
    </row>
    <row r="91" spans="2:11">
      <c r="B91" s="275" t="s">
        <v>7</v>
      </c>
      <c r="C91" s="275" t="s">
        <v>8</v>
      </c>
      <c r="D91" s="275" t="s">
        <v>9</v>
      </c>
      <c r="E91" s="271">
        <f>SUM(F91:H91)</f>
        <v>0.19230270590317097</v>
      </c>
      <c r="F91" s="512">
        <v>0.18998480990317099</v>
      </c>
      <c r="G91" s="519">
        <f>G13*$D$75</f>
        <v>9.7200000000000004E-5</v>
      </c>
      <c r="H91" s="274">
        <f>H13*$E$75</f>
        <v>2.2206959999999999E-3</v>
      </c>
      <c r="I91" s="507">
        <v>2.4451206568711723E-2</v>
      </c>
      <c r="J91" s="301"/>
      <c r="K91" s="301"/>
    </row>
    <row r="92" spans="2:11">
      <c r="B92" s="275"/>
      <c r="C92" s="275"/>
      <c r="D92" s="275" t="s">
        <v>10</v>
      </c>
      <c r="E92" s="276">
        <f>SUM(F92:H92)</f>
        <v>53.417418306436502</v>
      </c>
      <c r="F92" s="514">
        <v>52.773558306436499</v>
      </c>
      <c r="G92" s="272">
        <f>G14*$D$75</f>
        <v>2.7E-2</v>
      </c>
      <c r="H92" s="271">
        <f>H14*$E$75</f>
        <v>0.61686000000000007</v>
      </c>
      <c r="I92" s="507">
        <v>2.4451206568711723E-2</v>
      </c>
      <c r="J92" s="301"/>
      <c r="K92" s="301"/>
    </row>
    <row r="93" spans="2:11">
      <c r="B93" s="275"/>
      <c r="C93" s="275"/>
      <c r="D93" s="275"/>
      <c r="E93" s="270"/>
      <c r="F93" s="276"/>
      <c r="G93" s="271"/>
      <c r="H93" s="272"/>
      <c r="I93" s="273"/>
      <c r="J93" s="301"/>
      <c r="K93" s="301"/>
    </row>
    <row r="94" spans="2:11">
      <c r="B94" s="275" t="s">
        <v>11</v>
      </c>
      <c r="C94" s="275" t="s">
        <v>8</v>
      </c>
      <c r="D94" s="275" t="s">
        <v>12</v>
      </c>
      <c r="E94" s="270">
        <f t="shared" si="0"/>
        <v>2.6184228222161394</v>
      </c>
      <c r="F94" s="505">
        <v>2.59955901532238</v>
      </c>
      <c r="G94" s="274">
        <f>G16*$D$75</f>
        <v>7.0682729667862366E-3</v>
      </c>
      <c r="H94" s="272">
        <f>H16*$E$75</f>
        <v>1.1795533926972876E-2</v>
      </c>
      <c r="I94" s="507">
        <v>3.4853942275711397E-2</v>
      </c>
      <c r="J94" s="301"/>
      <c r="K94" s="301"/>
    </row>
    <row r="95" spans="2:11">
      <c r="B95" s="275" t="s">
        <v>13</v>
      </c>
      <c r="C95" s="275" t="s">
        <v>8</v>
      </c>
      <c r="D95" s="275" t="s">
        <v>12</v>
      </c>
      <c r="E95" s="270">
        <f t="shared" si="0"/>
        <v>1.9334356842367768</v>
      </c>
      <c r="F95" s="505">
        <v>1.9199367380112438</v>
      </c>
      <c r="G95" s="274">
        <f>G17*$D$75</f>
        <v>5.0580583878645901E-3</v>
      </c>
      <c r="H95" s="274">
        <f>H17*$E$75</f>
        <v>8.4408878376684288E-3</v>
      </c>
      <c r="I95" s="507">
        <v>3.4855526247071771E-2</v>
      </c>
      <c r="J95" s="301"/>
      <c r="K95" s="301"/>
    </row>
    <row r="96" spans="2:11">
      <c r="B96" s="275" t="s">
        <v>14</v>
      </c>
      <c r="C96" s="275" t="s">
        <v>8</v>
      </c>
      <c r="D96" s="275" t="s">
        <v>12</v>
      </c>
      <c r="E96" s="270">
        <f t="shared" si="0"/>
        <v>1.4103005727385822</v>
      </c>
      <c r="F96" s="505">
        <v>1.4005716985584453</v>
      </c>
      <c r="G96" s="274">
        <f>G18*$D$75</f>
        <v>3.6454114883606053E-3</v>
      </c>
      <c r="H96" s="274">
        <f>H18*$E$75</f>
        <v>6.0834626917761784E-3</v>
      </c>
      <c r="I96" s="507">
        <v>3.4856168416973254E-2</v>
      </c>
      <c r="J96" s="301"/>
      <c r="K96" s="301"/>
    </row>
    <row r="97" spans="2:11">
      <c r="B97" s="275" t="s">
        <v>251</v>
      </c>
      <c r="C97" s="275" t="s">
        <v>8</v>
      </c>
      <c r="D97" s="275" t="s">
        <v>12</v>
      </c>
      <c r="E97" s="270">
        <f>SUM(F97:H97)</f>
        <v>1.7180844261255048</v>
      </c>
      <c r="F97" s="270">
        <f>(F94*$E$52+F95*$E$53+F96*$E$54)/($E$52+$E$53+$E$54)</f>
        <v>1.7061234741761602</v>
      </c>
      <c r="G97" s="274">
        <f t="shared" ref="G97" si="1">(G94*$E$52+G95*$E$53+G96*$E$54)/($E$52+$E$53+$E$54)</f>
        <v>4.4817715637532306E-3</v>
      </c>
      <c r="H97" s="274">
        <f>(H94*$E$52+H95*$E$53+H96*$E$54)/($E$52+$E$53+$E$54)</f>
        <v>7.4791803855913906E-3</v>
      </c>
      <c r="I97" s="273">
        <f>I95</f>
        <v>3.4855526247071771E-2</v>
      </c>
      <c r="J97" s="301"/>
      <c r="K97" s="301"/>
    </row>
    <row r="98" spans="2:11">
      <c r="B98" s="275"/>
      <c r="C98" s="275"/>
      <c r="D98" s="275"/>
      <c r="E98" s="270"/>
      <c r="F98" s="276"/>
      <c r="G98" s="271"/>
      <c r="H98" s="272"/>
      <c r="I98" s="273"/>
      <c r="J98" s="301"/>
      <c r="K98" s="301"/>
    </row>
    <row r="99" spans="2:11">
      <c r="B99" s="275" t="s">
        <v>15</v>
      </c>
      <c r="C99" s="275" t="s">
        <v>8</v>
      </c>
      <c r="D99" s="275" t="s">
        <v>16</v>
      </c>
      <c r="E99" s="270">
        <f t="shared" si="0"/>
        <v>2.659471636327019</v>
      </c>
      <c r="F99" s="505">
        <v>2.6544781817301502</v>
      </c>
      <c r="G99" s="516">
        <f>G21*$D$75</f>
        <v>6.3924985695100673E-4</v>
      </c>
      <c r="H99" s="274">
        <f>H21*$E$75</f>
        <v>4.3542047399177143E-3</v>
      </c>
      <c r="I99" s="507">
        <v>5.0636143874531652E-3</v>
      </c>
      <c r="J99" s="301"/>
      <c r="K99" s="301"/>
    </row>
    <row r="100" spans="2:11">
      <c r="B100" s="275" t="s">
        <v>253</v>
      </c>
      <c r="C100" s="275" t="s">
        <v>8</v>
      </c>
      <c r="D100" s="275" t="s">
        <v>12</v>
      </c>
      <c r="E100" s="270">
        <f t="shared" si="0"/>
        <v>3.0015072050000002</v>
      </c>
      <c r="F100" s="505">
        <v>2.99112</v>
      </c>
      <c r="G100" s="274">
        <f>G22*$D$75</f>
        <v>1.3846249999999998E-3</v>
      </c>
      <c r="H100" s="274">
        <f>H22*$E$75</f>
        <v>9.0025799999999996E-3</v>
      </c>
      <c r="I100" s="507">
        <v>5.2245619675286951E-3</v>
      </c>
      <c r="J100" s="301"/>
      <c r="K100" s="301"/>
    </row>
    <row r="101" spans="2:11">
      <c r="B101" s="275" t="s">
        <v>18</v>
      </c>
      <c r="C101" s="275" t="s">
        <v>8</v>
      </c>
      <c r="D101" s="275" t="s">
        <v>16</v>
      </c>
      <c r="E101" s="270">
        <f t="shared" si="0"/>
        <v>2.9929616115954358</v>
      </c>
      <c r="F101" s="505">
        <v>2.9881075813200204</v>
      </c>
      <c r="G101" s="274">
        <f>G23*$D$75</f>
        <v>1.3656837591602474E-3</v>
      </c>
      <c r="H101" s="274">
        <f>H23*$E$75</f>
        <v>3.4883465162550325E-3</v>
      </c>
      <c r="I101" s="507">
        <v>5.0323485988311798E-3</v>
      </c>
      <c r="J101" s="301"/>
      <c r="K101" s="301"/>
    </row>
    <row r="102" spans="2:11">
      <c r="B102" s="275" t="s">
        <v>19</v>
      </c>
      <c r="C102" s="275" t="s">
        <v>8</v>
      </c>
      <c r="D102" s="275" t="s">
        <v>16</v>
      </c>
      <c r="E102" s="270">
        <f t="shared" si="0"/>
        <v>2.9375547942156954</v>
      </c>
      <c r="F102" s="505">
        <v>2.9327509079907772</v>
      </c>
      <c r="G102" s="274">
        <f>G24*$D$75</f>
        <v>1.3515757063677866E-3</v>
      </c>
      <c r="H102" s="274">
        <f>H24*$E$75</f>
        <v>3.4523105185508603E-3</v>
      </c>
      <c r="I102" s="507">
        <v>5.0329550589521474E-3</v>
      </c>
      <c r="J102" s="301"/>
      <c r="K102" s="301"/>
    </row>
    <row r="103" spans="2:11">
      <c r="B103" s="275"/>
      <c r="C103" s="275"/>
      <c r="D103" s="275"/>
      <c r="E103" s="270"/>
      <c r="F103" s="276"/>
      <c r="G103" s="271"/>
      <c r="H103" s="272"/>
      <c r="I103" s="273"/>
      <c r="J103" s="301"/>
      <c r="K103" s="301"/>
    </row>
    <row r="104" spans="2:11">
      <c r="B104" s="275" t="s">
        <v>7</v>
      </c>
      <c r="C104" s="275" t="s">
        <v>20</v>
      </c>
      <c r="D104" s="275" t="s">
        <v>9</v>
      </c>
      <c r="E104" s="271">
        <f t="shared" si="0"/>
        <v>0.190194761903171</v>
      </c>
      <c r="F104" s="512">
        <v>0.18998480990317099</v>
      </c>
      <c r="G104" s="516">
        <f>G26*$D$75</f>
        <v>1.1340000000000001E-4</v>
      </c>
      <c r="H104" s="519">
        <f>H26*$E$75</f>
        <v>9.655199999999998E-5</v>
      </c>
      <c r="I104" s="507">
        <v>2.3978065991140007E-2</v>
      </c>
      <c r="J104" s="301"/>
      <c r="K104" s="301"/>
    </row>
    <row r="105" spans="2:11">
      <c r="B105" s="275"/>
      <c r="C105" s="275"/>
      <c r="D105" s="275" t="s">
        <v>10</v>
      </c>
      <c r="E105" s="276">
        <f t="shared" si="0"/>
        <v>52.831878306436472</v>
      </c>
      <c r="F105" s="514">
        <v>52.77355830643647</v>
      </c>
      <c r="G105" s="272">
        <f>G27*$D$75</f>
        <v>3.15E-2</v>
      </c>
      <c r="H105" s="272">
        <f>H27*$E$75</f>
        <v>2.6819999999999997E-2</v>
      </c>
      <c r="I105" s="507">
        <v>2.3978065991140007E-2</v>
      </c>
      <c r="J105" s="301"/>
      <c r="K105" s="301"/>
    </row>
    <row r="106" spans="2:11">
      <c r="B106" s="275"/>
      <c r="C106" s="275"/>
      <c r="D106" s="275"/>
      <c r="E106" s="270"/>
      <c r="F106" s="276"/>
      <c r="G106" s="271"/>
      <c r="H106" s="272"/>
      <c r="I106" s="273"/>
      <c r="J106" s="301"/>
      <c r="K106" s="301"/>
    </row>
    <row r="107" spans="2:11">
      <c r="B107" s="275" t="s">
        <v>11</v>
      </c>
      <c r="C107" s="275" t="s">
        <v>20</v>
      </c>
      <c r="D107" s="275" t="s">
        <v>12</v>
      </c>
      <c r="E107" s="270">
        <f>SUM(F107:H107)</f>
        <v>2.6135344046323055</v>
      </c>
      <c r="F107" s="505">
        <v>2.5995590153223755</v>
      </c>
      <c r="G107" s="516">
        <f>G29*$D$75</f>
        <v>4.9477910767503673E-4</v>
      </c>
      <c r="H107" s="272">
        <f>H29*$E$75</f>
        <v>1.3480610202254713E-2</v>
      </c>
      <c r="I107" s="507">
        <v>3.4909964998453877E-2</v>
      </c>
      <c r="J107" s="301"/>
      <c r="K107" s="301"/>
    </row>
    <row r="108" spans="2:11">
      <c r="B108" s="275" t="s">
        <v>13</v>
      </c>
      <c r="C108" s="275" t="s">
        <v>20</v>
      </c>
      <c r="D108" s="275" t="s">
        <v>12</v>
      </c>
      <c r="E108" s="270">
        <f t="shared" si="0"/>
        <v>1.9299375310557296</v>
      </c>
      <c r="F108" s="505">
        <v>1.9199367380112438</v>
      </c>
      <c r="G108" s="516">
        <f>G30*$D$75</f>
        <v>3.5406408715052135E-4</v>
      </c>
      <c r="H108" s="274">
        <f>H30*$E$75</f>
        <v>9.6467289573353484E-3</v>
      </c>
      <c r="I108" s="507">
        <v>3.4909645817358115E-2</v>
      </c>
      <c r="J108" s="301"/>
      <c r="K108" s="301"/>
    </row>
    <row r="109" spans="2:11">
      <c r="B109" s="275" t="s">
        <v>14</v>
      </c>
      <c r="C109" s="275" t="s">
        <v>20</v>
      </c>
      <c r="D109" s="275" t="s">
        <v>12</v>
      </c>
      <c r="E109" s="270">
        <f t="shared" si="0"/>
        <v>1.407779406153232</v>
      </c>
      <c r="F109" s="505">
        <v>1.4005716985584453</v>
      </c>
      <c r="G109" s="516">
        <f>G31*$D$75</f>
        <v>2.5517880418524233E-4</v>
      </c>
      <c r="H109" s="274">
        <f>H31*$E$75</f>
        <v>6.952528790601346E-3</v>
      </c>
      <c r="I109" s="507">
        <v>3.4909577253016161E-2</v>
      </c>
      <c r="J109" s="301"/>
      <c r="K109" s="301"/>
    </row>
    <row r="110" spans="2:11">
      <c r="B110" s="275" t="s">
        <v>251</v>
      </c>
      <c r="C110" s="275" t="s">
        <v>20</v>
      </c>
      <c r="D110" s="275" t="s">
        <v>12</v>
      </c>
      <c r="E110" s="270">
        <f>SUM(F110:H110)</f>
        <v>2.0763093919622113</v>
      </c>
      <c r="F110" s="270">
        <f>(F107*$D$52+F108*$D$53+F109*$D$54)/($D$52+$D$53+$D$54)</f>
        <v>2.0654181185773082</v>
      </c>
      <c r="G110" s="516">
        <f t="shared" ref="G110" si="2">(G107*$D$52+G108*$D$53+G109*$D$54)/($D$52+$D$53+$D$54)</f>
        <v>3.8559029786730629E-4</v>
      </c>
      <c r="H110" s="272">
        <f>(H107*$D$52+H108*$D$53+H109*$D$54)/($D$52+$D$53+$D$54)</f>
        <v>1.0505683087036094E-2</v>
      </c>
      <c r="I110" s="273">
        <f>I108</f>
        <v>3.4909645817358115E-2</v>
      </c>
      <c r="J110" s="301"/>
      <c r="K110" s="301"/>
    </row>
    <row r="111" spans="2:11">
      <c r="B111" s="275"/>
      <c r="C111" s="275"/>
      <c r="D111" s="275"/>
      <c r="E111" s="270"/>
      <c r="F111" s="276"/>
      <c r="G111" s="271"/>
      <c r="H111" s="272"/>
      <c r="I111" s="273"/>
      <c r="J111" s="301"/>
      <c r="K111" s="301"/>
    </row>
    <row r="112" spans="2:11" ht="12.75" customHeight="1">
      <c r="B112" s="275" t="s">
        <v>15</v>
      </c>
      <c r="C112" s="275" t="s">
        <v>20</v>
      </c>
      <c r="D112" s="275" t="s">
        <v>16</v>
      </c>
      <c r="E112" s="270">
        <f>SUM(F112:H112)</f>
        <v>2.6590150292863353</v>
      </c>
      <c r="F112" s="505">
        <v>2.6544781817301457</v>
      </c>
      <c r="G112" s="516">
        <f>G34*$D$75</f>
        <v>1.8264281627171619E-4</v>
      </c>
      <c r="H112" s="274">
        <f>H34*$E$75</f>
        <v>4.3542047399177143E-3</v>
      </c>
      <c r="I112" s="507">
        <v>5.063420362928118E-3</v>
      </c>
      <c r="J112" s="301"/>
      <c r="K112" s="301"/>
    </row>
    <row r="113" spans="2:11">
      <c r="B113" s="275" t="s">
        <v>253</v>
      </c>
      <c r="C113" s="275" t="s">
        <v>20</v>
      </c>
      <c r="D113" s="275" t="s">
        <v>12</v>
      </c>
      <c r="E113" s="270">
        <f t="shared" si="0"/>
        <v>3.0015072050000007</v>
      </c>
      <c r="F113" s="505">
        <v>2.9911200000000004</v>
      </c>
      <c r="G113" s="274">
        <f>G35*$D$75</f>
        <v>1.3846249999999998E-3</v>
      </c>
      <c r="H113" s="274">
        <f>H35*$E$75</f>
        <v>9.0025799999999996E-3</v>
      </c>
      <c r="I113" s="507">
        <v>5.2245619675286951E-3</v>
      </c>
      <c r="J113" s="301"/>
      <c r="K113" s="301"/>
    </row>
    <row r="114" spans="2:11" ht="12.75" customHeight="1">
      <c r="B114" s="275" t="s">
        <v>18</v>
      </c>
      <c r="C114" s="275" t="s">
        <v>20</v>
      </c>
      <c r="D114" s="275" t="s">
        <v>16</v>
      </c>
      <c r="E114" s="270">
        <f t="shared" si="0"/>
        <v>2.994522393034476</v>
      </c>
      <c r="F114" s="505">
        <v>2.9881075813200204</v>
      </c>
      <c r="G114" s="274">
        <f>G36*$D$75</f>
        <v>2.9264651982005307E-3</v>
      </c>
      <c r="H114" s="274">
        <f>H36*$E$75</f>
        <v>3.4883465162550325E-3</v>
      </c>
      <c r="I114" s="507">
        <v>5.0432303044354197E-3</v>
      </c>
      <c r="J114" s="301"/>
      <c r="K114" s="301"/>
    </row>
    <row r="115" spans="2:11">
      <c r="B115" s="275" t="s">
        <v>19</v>
      </c>
      <c r="C115" s="275" t="s">
        <v>20</v>
      </c>
      <c r="D115" s="275" t="s">
        <v>16</v>
      </c>
      <c r="E115" s="270">
        <f>SUM(F115:H115)</f>
        <v>2.9390994521658302</v>
      </c>
      <c r="F115" s="505">
        <v>2.9327509079907772</v>
      </c>
      <c r="G115" s="274">
        <f>G37*$D$75</f>
        <v>2.8962336565024E-3</v>
      </c>
      <c r="H115" s="274">
        <f>H37*$E$75</f>
        <v>3.4523105185508603E-3</v>
      </c>
      <c r="I115" s="507">
        <v>5.0440352785068986E-3</v>
      </c>
      <c r="J115" s="301"/>
      <c r="K115" s="301"/>
    </row>
    <row r="116" spans="2:11" ht="12.75" customHeight="1">
      <c r="B116" s="275"/>
      <c r="C116" s="275"/>
      <c r="D116" s="275"/>
      <c r="E116" s="270"/>
      <c r="F116" s="276"/>
      <c r="G116" s="271"/>
      <c r="H116" s="272"/>
      <c r="I116" s="273"/>
      <c r="J116" s="301"/>
      <c r="K116" s="301"/>
    </row>
    <row r="117" spans="2:11" ht="12.75" customHeight="1">
      <c r="B117" s="275" t="s">
        <v>21</v>
      </c>
      <c r="C117" s="275" t="s">
        <v>254</v>
      </c>
      <c r="D117" s="275" t="s">
        <v>12</v>
      </c>
      <c r="E117" s="272">
        <f>SUM(G117:H117)</f>
        <v>1.43356995E-2</v>
      </c>
      <c r="F117" s="505">
        <v>1.00298055</v>
      </c>
      <c r="G117" s="274">
        <f>G39*$D$75</f>
        <v>3.4306875000000001E-3</v>
      </c>
      <c r="H117" s="272">
        <f>H39*$E$75</f>
        <v>1.0905012E-2</v>
      </c>
      <c r="I117" s="507">
        <v>0.41137769057785101</v>
      </c>
      <c r="J117" s="301"/>
      <c r="K117" s="301"/>
    </row>
    <row r="118" spans="2:11">
      <c r="B118" s="275" t="s">
        <v>21</v>
      </c>
      <c r="C118" s="275" t="s">
        <v>255</v>
      </c>
      <c r="D118" s="275" t="s">
        <v>12</v>
      </c>
      <c r="E118" s="272">
        <f>SUM(G118:H118)</f>
        <v>7.9518761999999993E-2</v>
      </c>
      <c r="F118" s="505">
        <v>1.00298055</v>
      </c>
      <c r="G118" s="272">
        <f>G40*$D$75</f>
        <v>6.8613749999999987E-2</v>
      </c>
      <c r="H118" s="272">
        <f>H40*$E$75</f>
        <v>1.0905012E-2</v>
      </c>
      <c r="I118" s="507">
        <v>0.42578728215478601</v>
      </c>
      <c r="J118" s="301"/>
      <c r="K118" s="301"/>
    </row>
    <row r="119" spans="2:11">
      <c r="B119" s="301"/>
      <c r="C119" s="301"/>
      <c r="D119" s="301"/>
      <c r="E119" s="394"/>
      <c r="F119" s="125"/>
      <c r="G119" s="393"/>
      <c r="H119" s="394"/>
      <c r="I119" s="128"/>
      <c r="J119" s="301"/>
      <c r="K119" s="301"/>
    </row>
    <row r="120" spans="2:11" ht="34.5" customHeight="1">
      <c r="B120" s="755" t="s">
        <v>522</v>
      </c>
      <c r="C120" s="756"/>
      <c r="D120" s="756"/>
      <c r="E120" s="756"/>
      <c r="F120" s="756"/>
      <c r="G120" s="756"/>
      <c r="H120" s="756"/>
      <c r="I120" s="756"/>
      <c r="J120" s="301"/>
      <c r="K120" s="301"/>
    </row>
    <row r="121" spans="2:11">
      <c r="J121" s="301"/>
      <c r="K121" s="301"/>
    </row>
    <row r="122" spans="2:11" ht="25.5" customHeight="1">
      <c r="B122" s="757" t="s">
        <v>268</v>
      </c>
      <c r="C122" s="757"/>
      <c r="D122" s="757"/>
      <c r="E122" s="757"/>
      <c r="F122" s="757"/>
      <c r="G122" s="757"/>
      <c r="H122" s="757"/>
      <c r="I122" s="757"/>
      <c r="J122" s="301"/>
      <c r="K122" s="301"/>
    </row>
    <row r="123" spans="2:11">
      <c r="B123" s="78" t="s">
        <v>252</v>
      </c>
      <c r="J123" s="301"/>
      <c r="K123" s="301"/>
    </row>
    <row r="124" spans="2:11" ht="31.5" customHeight="1">
      <c r="B124" s="752" t="s">
        <v>424</v>
      </c>
      <c r="C124" s="752"/>
      <c r="D124" s="752"/>
      <c r="E124" s="752"/>
      <c r="F124" s="752"/>
      <c r="G124" s="752"/>
      <c r="H124" s="752"/>
      <c r="I124" s="752"/>
      <c r="J124" s="301"/>
      <c r="K124" s="301"/>
    </row>
    <row r="125" spans="2:11" ht="54" customHeight="1">
      <c r="B125" s="755" t="s">
        <v>502</v>
      </c>
      <c r="C125" s="756"/>
      <c r="D125" s="756"/>
      <c r="E125" s="756"/>
      <c r="F125" s="756"/>
      <c r="G125" s="756"/>
      <c r="H125" s="756"/>
      <c r="I125" s="756"/>
      <c r="J125" s="301"/>
      <c r="K125" s="301"/>
    </row>
    <row r="126" spans="2:11" ht="12.75" customHeight="1">
      <c r="B126" s="753"/>
      <c r="C126" s="753"/>
      <c r="D126" s="753"/>
      <c r="E126" s="753"/>
      <c r="F126" s="753"/>
      <c r="G126" s="753"/>
      <c r="H126" s="753"/>
      <c r="I126" s="753"/>
      <c r="J126" s="301"/>
      <c r="K126" s="301"/>
    </row>
    <row r="127" spans="2:11" ht="12.75" customHeight="1">
      <c r="B127" s="754"/>
      <c r="C127" s="754"/>
      <c r="D127" s="754"/>
      <c r="E127" s="754"/>
      <c r="F127" s="754"/>
      <c r="G127" s="754"/>
      <c r="H127" s="754"/>
      <c r="I127" s="754"/>
      <c r="J127" s="301"/>
      <c r="K127" s="301"/>
    </row>
    <row r="128" spans="2:11">
      <c r="B128" s="301"/>
      <c r="C128" s="301"/>
      <c r="D128" s="301"/>
      <c r="E128" s="301"/>
      <c r="F128" s="301"/>
      <c r="G128" s="301"/>
      <c r="H128" s="301"/>
      <c r="I128" s="301"/>
      <c r="J128" s="301"/>
      <c r="K128" s="301"/>
    </row>
    <row r="129" spans="2:11">
      <c r="B129" s="301"/>
      <c r="C129" s="301"/>
      <c r="D129" s="301"/>
      <c r="E129" s="301"/>
      <c r="F129" s="301"/>
      <c r="G129" s="301"/>
      <c r="H129" s="301"/>
      <c r="I129" s="301"/>
      <c r="J129" s="301"/>
      <c r="K129" s="301"/>
    </row>
    <row r="130" spans="2:11">
      <c r="B130" s="301"/>
      <c r="C130" s="301"/>
      <c r="D130" s="301"/>
      <c r="E130" s="301"/>
      <c r="F130" s="301"/>
      <c r="G130" s="301"/>
      <c r="H130" s="301"/>
      <c r="I130" s="301"/>
      <c r="J130" s="301"/>
      <c r="K130" s="301"/>
    </row>
    <row r="131" spans="2:11">
      <c r="B131" s="225"/>
      <c r="C131" s="301"/>
      <c r="D131" s="395"/>
      <c r="E131" s="396"/>
      <c r="F131" s="396"/>
      <c r="G131" s="301"/>
      <c r="H131" s="301"/>
      <c r="I131" s="301"/>
      <c r="J131" s="47"/>
      <c r="K131" s="301"/>
    </row>
    <row r="132" spans="2:11">
      <c r="B132" s="301"/>
      <c r="C132" s="341"/>
      <c r="D132" s="374"/>
      <c r="E132" s="341"/>
      <c r="F132" s="341"/>
      <c r="G132" s="301"/>
      <c r="H132" s="301"/>
      <c r="I132" s="301"/>
      <c r="J132" s="47"/>
      <c r="K132" s="301"/>
    </row>
    <row r="133" spans="2:11">
      <c r="B133" s="301"/>
      <c r="C133" s="341"/>
      <c r="D133" s="374"/>
      <c r="E133" s="341"/>
      <c r="F133" s="341"/>
      <c r="G133" s="301"/>
      <c r="H133" s="301"/>
      <c r="I133" s="301"/>
      <c r="J133" s="47"/>
      <c r="K133" s="301"/>
    </row>
    <row r="134" spans="2:11">
      <c r="B134" s="301"/>
      <c r="C134" s="341"/>
      <c r="D134" s="374"/>
      <c r="E134" s="341"/>
      <c r="F134" s="341"/>
      <c r="G134" s="301"/>
      <c r="H134" s="301"/>
      <c r="I134" s="301"/>
      <c r="J134" s="47"/>
      <c r="K134" s="301"/>
    </row>
    <row r="135" spans="2:11">
      <c r="B135" s="301"/>
      <c r="C135" s="301"/>
      <c r="D135" s="301"/>
      <c r="E135" s="301"/>
      <c r="F135" s="301"/>
      <c r="G135" s="301"/>
      <c r="H135" s="301"/>
      <c r="I135" s="301"/>
      <c r="J135" s="47"/>
      <c r="K135" s="301"/>
    </row>
    <row r="136" spans="2:11">
      <c r="B136" s="301"/>
      <c r="C136" s="301"/>
      <c r="D136" s="301"/>
      <c r="E136" s="301"/>
      <c r="F136" s="301"/>
      <c r="G136" s="301"/>
      <c r="H136" s="301"/>
      <c r="I136" s="301"/>
      <c r="J136" s="47"/>
      <c r="K136" s="301"/>
    </row>
    <row r="137" spans="2:11">
      <c r="B137" s="301"/>
      <c r="C137" s="375"/>
      <c r="D137" s="376"/>
      <c r="E137" s="377"/>
      <c r="F137" s="301"/>
      <c r="G137" s="378"/>
      <c r="H137" s="301"/>
      <c r="I137" s="301"/>
      <c r="J137" s="47"/>
      <c r="K137" s="301"/>
    </row>
    <row r="138" spans="2:11">
      <c r="B138" s="301"/>
      <c r="C138" s="379"/>
      <c r="D138" s="379"/>
      <c r="E138" s="301"/>
      <c r="F138" s="301"/>
      <c r="G138" s="378"/>
      <c r="H138" s="301"/>
      <c r="I138" s="301"/>
      <c r="J138" s="47"/>
      <c r="K138" s="301"/>
    </row>
    <row r="139" spans="2:11">
      <c r="B139" s="301"/>
      <c r="C139" s="379"/>
      <c r="D139" s="301"/>
      <c r="E139" s="301"/>
      <c r="F139" s="301"/>
      <c r="G139" s="378"/>
      <c r="H139" s="301"/>
      <c r="I139" s="301"/>
      <c r="J139" s="47"/>
      <c r="K139" s="301"/>
    </row>
    <row r="140" spans="2:11">
      <c r="B140" s="301"/>
      <c r="C140" s="301"/>
      <c r="D140" s="301"/>
      <c r="E140" s="301"/>
      <c r="F140" s="301"/>
      <c r="G140" s="301"/>
      <c r="H140" s="301"/>
      <c r="I140" s="301"/>
      <c r="J140" s="47"/>
      <c r="K140" s="301"/>
    </row>
    <row r="141" spans="2:11">
      <c r="B141" s="301"/>
      <c r="C141" s="301"/>
      <c r="D141" s="301"/>
      <c r="E141" s="301"/>
      <c r="F141" s="301"/>
      <c r="G141" s="301"/>
      <c r="H141" s="301"/>
      <c r="I141" s="301"/>
      <c r="J141" s="301"/>
      <c r="K141" s="301"/>
    </row>
    <row r="142" spans="2:11">
      <c r="B142" s="47"/>
      <c r="C142" s="301"/>
      <c r="D142" s="301"/>
      <c r="E142" s="301"/>
      <c r="F142" s="301"/>
      <c r="G142" s="301"/>
      <c r="H142" s="301"/>
      <c r="I142" s="301"/>
      <c r="J142" s="301"/>
      <c r="K142" s="301"/>
    </row>
    <row r="143" spans="2:11">
      <c r="B143" s="47"/>
      <c r="C143" s="47"/>
      <c r="D143" s="47"/>
      <c r="E143" s="47"/>
      <c r="F143" s="47"/>
      <c r="G143" s="47"/>
      <c r="H143" s="47"/>
      <c r="I143" s="301"/>
      <c r="J143" s="301"/>
      <c r="K143" s="301"/>
    </row>
    <row r="144" spans="2:11">
      <c r="B144" s="13"/>
      <c r="C144" s="47"/>
      <c r="D144" s="47"/>
      <c r="E144" s="47"/>
      <c r="F144" s="47"/>
      <c r="G144" s="47"/>
      <c r="H144" s="47"/>
      <c r="I144" s="301"/>
      <c r="J144" s="301"/>
      <c r="K144" s="301"/>
    </row>
    <row r="145" spans="2:11">
      <c r="B145" s="301"/>
      <c r="C145" s="301"/>
      <c r="D145" s="301"/>
      <c r="E145" s="301"/>
      <c r="F145" s="301"/>
      <c r="G145" s="301"/>
      <c r="H145" s="301"/>
      <c r="I145" s="301"/>
      <c r="J145" s="301"/>
      <c r="K145" s="301"/>
    </row>
  </sheetData>
  <mergeCells count="10">
    <mergeCell ref="B124:I124"/>
    <mergeCell ref="B126:I126"/>
    <mergeCell ref="B127:I127"/>
    <mergeCell ref="B42:I42"/>
    <mergeCell ref="B44:I44"/>
    <mergeCell ref="B46:I46"/>
    <mergeCell ref="B47:I47"/>
    <mergeCell ref="B122:I122"/>
    <mergeCell ref="B120:I120"/>
    <mergeCell ref="B125:I125"/>
  </mergeCells>
  <dataValidations count="1">
    <dataValidation type="list" allowBlank="1" showInputMessage="1" showErrorMessage="1" sqref="D50 D130">
      <formula1>"Include Dairy,Exclude Dairy"</formula1>
    </dataValidation>
  </dataValidations>
  <hyperlinks>
    <hyperlink ref="B63" r:id="rId1"/>
    <hyperlink ref="B77" r:id="rId2"/>
  </hyperlinks>
  <pageMargins left="0.74803149606299213" right="0.74803149606299213" top="0.98425196850393704" bottom="0.98425196850393704" header="0.51181102362204722" footer="0.51181102362204722"/>
  <pageSetup paperSize="8" scale="39" orientation="landscape" r:id="rId3"/>
  <headerFooter alignWithMargins="0">
    <oddFooter>&amp;RDocument ID: &amp;F</oddFooter>
  </headerFooter>
  <drawing r:id="rId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V42"/>
  <sheetViews>
    <sheetView topLeftCell="A10" zoomScale="110" zoomScaleNormal="110" workbookViewId="0">
      <selection activeCell="Q12" sqref="Q12"/>
    </sheetView>
  </sheetViews>
  <sheetFormatPr defaultColWidth="9.140625" defaultRowHeight="12.75"/>
  <cols>
    <col min="1" max="1" width="23.85546875" style="77" customWidth="1"/>
    <col min="2" max="2" width="22" style="77" customWidth="1"/>
    <col min="3" max="3" width="13.140625" style="77" customWidth="1"/>
    <col min="4" max="4" width="9.140625" style="77"/>
    <col min="5" max="5" width="14.85546875" style="77" customWidth="1"/>
    <col min="6" max="6" width="19.5703125" style="77" bestFit="1" customWidth="1"/>
    <col min="7" max="7" width="16.7109375" style="77" customWidth="1"/>
    <col min="8" max="8" width="15.28515625" style="77" bestFit="1" customWidth="1"/>
    <col min="9" max="9" width="16.42578125" style="77" customWidth="1"/>
    <col min="10" max="10" width="15.28515625" style="77" bestFit="1" customWidth="1"/>
    <col min="11" max="11" width="15.140625" style="77" customWidth="1"/>
    <col min="12" max="16384" width="9.140625" style="77"/>
  </cols>
  <sheetData>
    <row r="1" spans="1:22">
      <c r="B1" s="91" t="s">
        <v>425</v>
      </c>
    </row>
    <row r="3" spans="1:22">
      <c r="B3" s="345"/>
      <c r="C3" s="557" t="s">
        <v>426</v>
      </c>
      <c r="D3" s="557" t="s">
        <v>427</v>
      </c>
      <c r="E3" s="558" t="s">
        <v>428</v>
      </c>
    </row>
    <row r="4" spans="1:22">
      <c r="A4" s="90"/>
      <c r="B4" s="346" t="s">
        <v>429</v>
      </c>
      <c r="C4" s="347">
        <v>3.5000000000000003E-2</v>
      </c>
      <c r="D4" s="347">
        <v>0.5</v>
      </c>
      <c r="E4" s="348">
        <v>0.5</v>
      </c>
    </row>
    <row r="5" spans="1:22">
      <c r="A5" s="90"/>
      <c r="B5" s="346" t="s">
        <v>213</v>
      </c>
      <c r="C5" s="347">
        <v>5.0000000000000001E-3</v>
      </c>
      <c r="D5" s="347">
        <v>0.5</v>
      </c>
      <c r="E5" s="348">
        <v>0.5</v>
      </c>
    </row>
    <row r="6" spans="1:22">
      <c r="A6" s="90"/>
      <c r="B6" s="346" t="s">
        <v>214</v>
      </c>
      <c r="C6" s="347">
        <v>2.4E-2</v>
      </c>
      <c r="D6" s="347">
        <v>0.5</v>
      </c>
      <c r="E6" s="348">
        <v>0.5</v>
      </c>
    </row>
    <row r="7" spans="1:22">
      <c r="B7" s="349" t="s">
        <v>215</v>
      </c>
      <c r="C7" s="350"/>
      <c r="D7" s="350">
        <v>0.5</v>
      </c>
      <c r="E7" s="351">
        <v>0.5</v>
      </c>
    </row>
    <row r="8" spans="1:22" ht="18" customHeight="1">
      <c r="J8" s="254"/>
    </row>
    <row r="9" spans="1:22" ht="39">
      <c r="B9" s="344" t="s">
        <v>0</v>
      </c>
      <c r="C9" s="80" t="s">
        <v>1</v>
      </c>
      <c r="D9" s="80" t="s">
        <v>2</v>
      </c>
      <c r="E9" s="555" t="s">
        <v>216</v>
      </c>
      <c r="F9" s="556" t="s">
        <v>217</v>
      </c>
      <c r="G9" s="556" t="s">
        <v>496</v>
      </c>
      <c r="H9" s="556" t="s">
        <v>219</v>
      </c>
      <c r="I9" s="556" t="s">
        <v>220</v>
      </c>
      <c r="J9" s="83"/>
    </row>
    <row r="10" spans="1:22" ht="15">
      <c r="B10" s="81" t="s">
        <v>4</v>
      </c>
      <c r="C10" s="82"/>
      <c r="D10" s="82"/>
      <c r="E10" s="82"/>
      <c r="F10" s="82"/>
      <c r="G10" s="82"/>
      <c r="H10" s="82"/>
      <c r="I10" s="82"/>
      <c r="J10" s="83"/>
    </row>
    <row r="11" spans="1:22" ht="15">
      <c r="B11" s="82" t="s">
        <v>11</v>
      </c>
      <c r="C11" s="255" t="s">
        <v>247</v>
      </c>
      <c r="D11" s="255" t="s">
        <v>89</v>
      </c>
      <c r="E11" s="507">
        <v>4.5687525475237946E-2</v>
      </c>
      <c r="F11" s="512">
        <v>0.12746591242861791</v>
      </c>
      <c r="G11" s="512">
        <v>9.0984565536283146E-2</v>
      </c>
      <c r="H11" s="512">
        <v>8.9060239381506576E-2</v>
      </c>
      <c r="I11" s="512">
        <v>6.135260935170455E-3</v>
      </c>
      <c r="J11" s="83"/>
      <c r="K11" s="46"/>
      <c r="R11" s="372"/>
    </row>
    <row r="12" spans="1:22" ht="15">
      <c r="B12" s="82" t="s">
        <v>13</v>
      </c>
      <c r="C12" s="255" t="s">
        <v>247</v>
      </c>
      <c r="D12" s="255" t="s">
        <v>89</v>
      </c>
      <c r="E12" s="507">
        <v>4.5092077976041908E-2</v>
      </c>
      <c r="F12" s="512">
        <v>9.2717455891513645E-2</v>
      </c>
      <c r="G12" s="512">
        <v>6.7197785830393542E-2</v>
      </c>
      <c r="H12" s="512">
        <v>6.3731535687093832E-2</v>
      </c>
      <c r="I12" s="512">
        <v>4.3903946806664648E-3</v>
      </c>
      <c r="J12" s="203"/>
      <c r="K12" s="46"/>
    </row>
    <row r="13" spans="1:22" ht="15">
      <c r="B13" s="82" t="s">
        <v>14</v>
      </c>
      <c r="C13" s="255" t="s">
        <v>247</v>
      </c>
      <c r="D13" s="255" t="s">
        <v>89</v>
      </c>
      <c r="E13" s="507">
        <v>4.487116793957998E-2</v>
      </c>
      <c r="F13" s="512">
        <v>6.7251313689471959E-2</v>
      </c>
      <c r="G13" s="512">
        <v>4.9020009449545592E-2</v>
      </c>
      <c r="H13" s="512">
        <v>4.5932184753343611E-2</v>
      </c>
      <c r="I13" s="512">
        <v>3.1642171718970053E-3</v>
      </c>
      <c r="J13" s="203"/>
    </row>
    <row r="14" spans="1:22" ht="15">
      <c r="B14" s="82" t="s">
        <v>7</v>
      </c>
      <c r="C14" s="82" t="s">
        <v>8</v>
      </c>
      <c r="D14" s="82" t="s">
        <v>9</v>
      </c>
      <c r="E14" s="507">
        <v>2.4451206568711723E-2</v>
      </c>
      <c r="F14" s="512">
        <v>4.7038394452923044E-3</v>
      </c>
      <c r="G14" s="512">
        <v>4.5596354376761109E-3</v>
      </c>
      <c r="H14" s="512">
        <v>4.0824000000000001E-5</v>
      </c>
      <c r="I14" s="512">
        <v>1.1550599999999999E-3</v>
      </c>
      <c r="J14" s="203"/>
    </row>
    <row r="15" spans="1:22" ht="15">
      <c r="B15" s="82"/>
      <c r="C15" s="82"/>
      <c r="D15" s="82" t="s">
        <v>10</v>
      </c>
      <c r="E15" s="507">
        <v>2.4451206568711723E-2</v>
      </c>
      <c r="F15" s="512">
        <v>1.3066220681367513</v>
      </c>
      <c r="G15" s="512">
        <v>1.2665653993544752</v>
      </c>
      <c r="H15" s="512">
        <v>1.1339999999999999E-2</v>
      </c>
      <c r="I15" s="512">
        <v>0.32084999999999997</v>
      </c>
      <c r="J15" s="203"/>
      <c r="U15" s="84"/>
      <c r="V15" s="84"/>
    </row>
    <row r="16" spans="1:22" ht="15">
      <c r="B16" s="82" t="s">
        <v>11</v>
      </c>
      <c r="C16" s="82" t="s">
        <v>8</v>
      </c>
      <c r="D16" s="82" t="s">
        <v>12</v>
      </c>
      <c r="E16" s="507">
        <v>3.4853942275711397E-2</v>
      </c>
      <c r="F16" s="512">
        <v>9.1239495952810543E-2</v>
      </c>
      <c r="G16" s="512">
        <v>9.0984565536283146E-2</v>
      </c>
      <c r="H16" s="512">
        <v>2.9686746460502195E-3</v>
      </c>
      <c r="I16" s="512">
        <v>6.135260935170455E-3</v>
      </c>
      <c r="J16" s="203"/>
      <c r="U16" s="84"/>
      <c r="V16" s="84"/>
    </row>
    <row r="17" spans="2:22" ht="15">
      <c r="B17" s="82" t="s">
        <v>13</v>
      </c>
      <c r="C17" s="82" t="s">
        <v>8</v>
      </c>
      <c r="D17" s="82" t="s">
        <v>12</v>
      </c>
      <c r="E17" s="507">
        <v>3.4855526247071771E-2</v>
      </c>
      <c r="F17" s="512">
        <v>6.7374557479516053E-2</v>
      </c>
      <c r="G17" s="512">
        <v>6.7197785830393542E-2</v>
      </c>
      <c r="H17" s="512">
        <v>2.1243845229031279E-3</v>
      </c>
      <c r="I17" s="512">
        <v>4.3903946806664648E-3</v>
      </c>
      <c r="J17" s="203"/>
      <c r="U17" s="84"/>
      <c r="V17" s="84"/>
    </row>
    <row r="18" spans="2:22" ht="15">
      <c r="B18" s="82" t="s">
        <v>14</v>
      </c>
      <c r="C18" s="82" t="s">
        <v>8</v>
      </c>
      <c r="D18" s="82" t="s">
        <v>12</v>
      </c>
      <c r="E18" s="507">
        <v>3.4856168416973254E-2</v>
      </c>
      <c r="F18" s="512">
        <v>4.9145882642803979E-2</v>
      </c>
      <c r="G18" s="512">
        <v>4.9020009449545592E-2</v>
      </c>
      <c r="H18" s="512">
        <v>1.5310728251114543E-3</v>
      </c>
      <c r="I18" s="512">
        <v>3.1642171718970053E-3</v>
      </c>
      <c r="J18" s="203"/>
    </row>
    <row r="19" spans="2:22" ht="15">
      <c r="B19" s="82" t="s">
        <v>15</v>
      </c>
      <c r="C19" s="82" t="s">
        <v>8</v>
      </c>
      <c r="D19" s="82" t="s">
        <v>16</v>
      </c>
      <c r="E19" s="507">
        <v>5.0636143874531652E-3</v>
      </c>
      <c r="F19" s="512">
        <v>1.3466908773845978E-2</v>
      </c>
      <c r="G19" s="512">
        <v>1.327239090865073E-2</v>
      </c>
      <c r="H19" s="512">
        <v>2.6848493991942282E-4</v>
      </c>
      <c r="I19" s="512">
        <v>2.2647709217692808E-3</v>
      </c>
      <c r="J19" s="203"/>
    </row>
    <row r="20" spans="2:22" ht="15">
      <c r="B20" s="82" t="s">
        <v>17</v>
      </c>
      <c r="C20" s="82" t="s">
        <v>8</v>
      </c>
      <c r="D20" s="82" t="s">
        <v>12</v>
      </c>
      <c r="E20" s="507">
        <v>5.2245619675286951E-3</v>
      </c>
      <c r="F20" s="512">
        <v>1.5682296947252539E-2</v>
      </c>
      <c r="G20" s="512">
        <v>1.4955600000000003E-2</v>
      </c>
      <c r="H20" s="512">
        <v>5.8154249999999995E-4</v>
      </c>
      <c r="I20" s="512">
        <v>4.6825499999999997E-3</v>
      </c>
      <c r="J20" s="203"/>
    </row>
    <row r="21" spans="2:22" ht="15">
      <c r="B21" s="82" t="s">
        <v>18</v>
      </c>
      <c r="C21" s="82" t="s">
        <v>8</v>
      </c>
      <c r="D21" s="82" t="s">
        <v>16</v>
      </c>
      <c r="E21" s="507">
        <v>5.0323485988311798E-3</v>
      </c>
      <c r="F21" s="512">
        <v>1.506123345265341E-2</v>
      </c>
      <c r="G21" s="512">
        <v>1.4940537906600103E-2</v>
      </c>
      <c r="H21" s="512">
        <v>5.7358717884730391E-4</v>
      </c>
      <c r="I21" s="512">
        <v>1.8144084228843289E-3</v>
      </c>
      <c r="J21" s="203"/>
    </row>
    <row r="22" spans="2:22" ht="15">
      <c r="B22" s="82" t="s">
        <v>19</v>
      </c>
      <c r="C22" s="82" t="s">
        <v>8</v>
      </c>
      <c r="D22" s="82" t="s">
        <v>16</v>
      </c>
      <c r="E22" s="507">
        <v>5.0329550589521474E-3</v>
      </c>
      <c r="F22" s="512">
        <v>1.4784192552794796E-2</v>
      </c>
      <c r="G22" s="512">
        <v>1.4663754539953886E-2</v>
      </c>
      <c r="H22" s="512">
        <v>5.6766179667447033E-4</v>
      </c>
      <c r="I22" s="512">
        <v>1.7956648670314878E-3</v>
      </c>
      <c r="J22" s="203"/>
    </row>
    <row r="23" spans="2:22" ht="15">
      <c r="B23" s="82" t="s">
        <v>7</v>
      </c>
      <c r="C23" s="82" t="s">
        <v>20</v>
      </c>
      <c r="D23" s="82" t="s">
        <v>9</v>
      </c>
      <c r="E23" s="507">
        <v>2.3978065991140007E-2</v>
      </c>
      <c r="F23" s="512">
        <v>4.5601607207746324E-3</v>
      </c>
      <c r="G23" s="512">
        <v>4.5596354376761109E-3</v>
      </c>
      <c r="H23" s="512">
        <v>4.7628000000000005E-5</v>
      </c>
      <c r="I23" s="512">
        <v>5.021999999999999E-5</v>
      </c>
      <c r="J23" s="203"/>
    </row>
    <row r="24" spans="2:22" ht="15">
      <c r="B24" s="82"/>
      <c r="C24" s="82"/>
      <c r="D24" s="82" t="s">
        <v>10</v>
      </c>
      <c r="E24" s="507">
        <v>2.3978065991140007E-2</v>
      </c>
      <c r="F24" s="512">
        <v>1.2667113113262869</v>
      </c>
      <c r="G24" s="512">
        <v>1.2665653993544752</v>
      </c>
      <c r="H24" s="512">
        <v>1.323E-2</v>
      </c>
      <c r="I24" s="512">
        <v>1.3949999999999999E-2</v>
      </c>
      <c r="J24" s="203"/>
    </row>
    <row r="25" spans="2:22" ht="15">
      <c r="B25" s="82" t="s">
        <v>11</v>
      </c>
      <c r="C25" s="82" t="s">
        <v>20</v>
      </c>
      <c r="D25" s="82" t="s">
        <v>12</v>
      </c>
      <c r="E25" s="507">
        <v>3.4909964998453877E-2</v>
      </c>
      <c r="F25" s="512">
        <v>9.1254581595387449E-2</v>
      </c>
      <c r="G25" s="512">
        <v>9.0984565536283146E-2</v>
      </c>
      <c r="H25" s="512">
        <v>2.0780722522351541E-4</v>
      </c>
      <c r="I25" s="512">
        <v>7.0117267830519482E-3</v>
      </c>
      <c r="J25" s="203"/>
    </row>
    <row r="26" spans="2:22" ht="15">
      <c r="B26" s="82" t="s">
        <v>13</v>
      </c>
      <c r="C26" s="82" t="s">
        <v>20</v>
      </c>
      <c r="D26" s="82" t="s">
        <v>12</v>
      </c>
      <c r="E26" s="507">
        <v>3.4909645817358115E-2</v>
      </c>
      <c r="F26" s="512">
        <v>6.7385018980543054E-2</v>
      </c>
      <c r="G26" s="512">
        <v>6.7197785830393542E-2</v>
      </c>
      <c r="H26" s="512">
        <v>1.4870691660321897E-4</v>
      </c>
      <c r="I26" s="512">
        <v>5.0175939207616743E-3</v>
      </c>
      <c r="J26" s="203"/>
    </row>
    <row r="27" spans="2:22" ht="15">
      <c r="B27" s="82" t="s">
        <v>14</v>
      </c>
      <c r="C27" s="82" t="s">
        <v>20</v>
      </c>
      <c r="D27" s="82" t="s">
        <v>12</v>
      </c>
      <c r="E27" s="507">
        <v>3.4909577253016161E-2</v>
      </c>
      <c r="F27" s="512">
        <v>4.9153332175484024E-2</v>
      </c>
      <c r="G27" s="512">
        <v>4.9020009449545592E-2</v>
      </c>
      <c r="H27" s="512">
        <v>1.0717509775780179E-4</v>
      </c>
      <c r="I27" s="512">
        <v>3.6162481964537203E-3</v>
      </c>
      <c r="J27" s="203"/>
    </row>
    <row r="28" spans="2:22" ht="15">
      <c r="B28" s="82" t="s">
        <v>15</v>
      </c>
      <c r="C28" s="82" t="s">
        <v>20</v>
      </c>
      <c r="D28" s="82" t="s">
        <v>16</v>
      </c>
      <c r="E28" s="507">
        <v>5.063420362928118E-3</v>
      </c>
      <c r="F28" s="512">
        <v>1.3464450682504379E-2</v>
      </c>
      <c r="G28" s="512">
        <v>1.327239090865073E-2</v>
      </c>
      <c r="H28" s="512">
        <v>7.6709982834120797E-5</v>
      </c>
      <c r="I28" s="512">
        <v>2.2647709217692808E-3</v>
      </c>
      <c r="J28" s="203"/>
    </row>
    <row r="29" spans="2:22" ht="15">
      <c r="B29" s="82" t="s">
        <v>17</v>
      </c>
      <c r="C29" s="82" t="s">
        <v>20</v>
      </c>
      <c r="D29" s="82" t="s">
        <v>12</v>
      </c>
      <c r="E29" s="507">
        <v>5.2245619675286951E-3</v>
      </c>
      <c r="F29" s="512">
        <v>1.5682296947252539E-2</v>
      </c>
      <c r="G29" s="512">
        <v>1.4955600000000003E-2</v>
      </c>
      <c r="H29" s="512">
        <v>5.8154249999999995E-4</v>
      </c>
      <c r="I29" s="512">
        <v>4.6825499999999997E-3</v>
      </c>
      <c r="J29" s="203"/>
    </row>
    <row r="30" spans="2:22">
      <c r="B30" s="82" t="s">
        <v>18</v>
      </c>
      <c r="C30" s="82" t="s">
        <v>20</v>
      </c>
      <c r="D30" s="82" t="s">
        <v>16</v>
      </c>
      <c r="E30" s="507">
        <v>5.0432303044354171E-3</v>
      </c>
      <c r="F30" s="512">
        <v>1.5100413090009021E-2</v>
      </c>
      <c r="G30" s="512">
        <v>1.4940537906600103E-2</v>
      </c>
      <c r="H30" s="512">
        <v>1.2291153832442228E-3</v>
      </c>
      <c r="I30" s="512">
        <v>1.8144084228843289E-3</v>
      </c>
    </row>
    <row r="31" spans="2:22">
      <c r="B31" s="82" t="s">
        <v>19</v>
      </c>
      <c r="C31" s="82" t="s">
        <v>20</v>
      </c>
      <c r="D31" s="82" t="s">
        <v>16</v>
      </c>
      <c r="E31" s="507">
        <v>5.0440352785068986E-3</v>
      </c>
      <c r="F31" s="512">
        <v>1.482328514883407E-2</v>
      </c>
      <c r="G31" s="512">
        <v>1.4663754539953886E-2</v>
      </c>
      <c r="H31" s="512">
        <v>1.216418135731008E-3</v>
      </c>
      <c r="I31" s="512">
        <v>1.7956648670314878E-3</v>
      </c>
    </row>
    <row r="32" spans="2:22">
      <c r="B32" s="82" t="s">
        <v>21</v>
      </c>
      <c r="C32" s="82" t="s">
        <v>20</v>
      </c>
      <c r="D32" s="82" t="s">
        <v>12</v>
      </c>
      <c r="E32" s="507">
        <v>0.41137769057785134</v>
      </c>
      <c r="F32" s="512">
        <v>5.8522250875010411E-3</v>
      </c>
      <c r="G32" s="512"/>
      <c r="H32" s="512">
        <v>1.44088875E-3</v>
      </c>
      <c r="I32" s="512">
        <v>5.6720700000000004E-3</v>
      </c>
    </row>
    <row r="33" spans="2:9">
      <c r="B33" s="82" t="s">
        <v>21</v>
      </c>
      <c r="C33" s="82" t="s">
        <v>22</v>
      </c>
      <c r="D33" s="82" t="s">
        <v>12</v>
      </c>
      <c r="E33" s="507">
        <v>0.42578728215478601</v>
      </c>
      <c r="F33" s="512">
        <v>2.9370674728979668E-2</v>
      </c>
      <c r="G33" s="512"/>
      <c r="H33" s="512">
        <v>2.8817774999999997E-2</v>
      </c>
      <c r="I33" s="512">
        <v>5.6720700000000004E-3</v>
      </c>
    </row>
    <row r="34" spans="2:9" ht="48" customHeight="1">
      <c r="B34" s="80" t="s">
        <v>0</v>
      </c>
      <c r="C34" s="80" t="s">
        <v>1</v>
      </c>
      <c r="D34" s="80" t="s">
        <v>2</v>
      </c>
      <c r="E34" s="555" t="s">
        <v>216</v>
      </c>
      <c r="F34" s="556" t="s">
        <v>217</v>
      </c>
      <c r="G34" s="556" t="s">
        <v>218</v>
      </c>
      <c r="H34" s="556" t="s">
        <v>219</v>
      </c>
      <c r="I34" s="556" t="s">
        <v>220</v>
      </c>
    </row>
    <row r="35" spans="2:9">
      <c r="B35" s="81" t="s">
        <v>6</v>
      </c>
      <c r="C35" s="82"/>
      <c r="D35" s="82"/>
      <c r="E35" s="305"/>
      <c r="F35" s="294"/>
      <c r="G35" s="294"/>
      <c r="H35" s="294"/>
      <c r="I35" s="294"/>
    </row>
    <row r="36" spans="2:9">
      <c r="B36" s="82" t="s">
        <v>23</v>
      </c>
      <c r="C36" s="82" t="s">
        <v>24</v>
      </c>
      <c r="D36" s="82" t="s">
        <v>16</v>
      </c>
      <c r="E36" s="507">
        <v>6.6207982821591092E-3</v>
      </c>
      <c r="F36" s="512">
        <v>1.5479186267728259E-2</v>
      </c>
      <c r="G36" s="512">
        <v>1.1544279500474946E-2</v>
      </c>
      <c r="H36" s="512">
        <v>6.8151272770035154E-3</v>
      </c>
      <c r="I36" s="512">
        <v>7.7387892156450186E-3</v>
      </c>
    </row>
    <row r="37" spans="2:9">
      <c r="B37" s="82" t="s">
        <v>25</v>
      </c>
      <c r="C37" s="82" t="s">
        <v>24</v>
      </c>
      <c r="D37" s="82" t="s">
        <v>16</v>
      </c>
      <c r="E37" s="507">
        <v>6.6111266944638338E-3</v>
      </c>
      <c r="F37" s="512">
        <v>1.5602652366093303E-2</v>
      </c>
      <c r="G37" s="512">
        <v>1.1653874695469489E-2</v>
      </c>
      <c r="H37" s="512">
        <v>6.8565054363679892E-3</v>
      </c>
      <c r="I37" s="512">
        <v>7.7857754039343486E-3</v>
      </c>
    </row>
    <row r="38" spans="2:9">
      <c r="B38" s="82" t="s">
        <v>15</v>
      </c>
      <c r="C38" s="82" t="s">
        <v>24</v>
      </c>
      <c r="D38" s="82" t="s">
        <v>16</v>
      </c>
      <c r="E38" s="507">
        <v>9.552833083677232E-3</v>
      </c>
      <c r="F38" s="512">
        <v>2.5808980983280105E-2</v>
      </c>
      <c r="G38" s="512">
        <v>1.327239090865073E-2</v>
      </c>
      <c r="H38" s="512">
        <v>1.5341996566824161E-3</v>
      </c>
      <c r="I38" s="512">
        <v>2.2081516487250489E-2</v>
      </c>
    </row>
    <row r="39" spans="2:9">
      <c r="B39" s="82" t="s">
        <v>26</v>
      </c>
      <c r="C39" s="82" t="s">
        <v>24</v>
      </c>
      <c r="D39" s="82" t="s">
        <v>16</v>
      </c>
      <c r="E39" s="507">
        <v>7.3533012379673607E-3</v>
      </c>
      <c r="F39" s="512">
        <v>1.1165188310233142E-2</v>
      </c>
      <c r="G39" s="512">
        <v>7.4890872452830198E-3</v>
      </c>
      <c r="H39" s="512">
        <v>7.9420949999999997E-3</v>
      </c>
      <c r="I39" s="512">
        <v>2.3448089999999998E-3</v>
      </c>
    </row>
    <row r="40" spans="2:9">
      <c r="B40" s="82" t="s">
        <v>52</v>
      </c>
      <c r="C40" s="82" t="s">
        <v>24</v>
      </c>
      <c r="D40" s="82" t="s">
        <v>16</v>
      </c>
      <c r="E40" s="507"/>
      <c r="F40" s="512"/>
      <c r="G40" s="512"/>
      <c r="H40" s="512"/>
      <c r="I40" s="512"/>
    </row>
    <row r="41" spans="2:9">
      <c r="B41" s="82" t="s">
        <v>18</v>
      </c>
      <c r="C41" s="82" t="s">
        <v>24</v>
      </c>
      <c r="D41" s="82" t="s">
        <v>16</v>
      </c>
      <c r="E41" s="507">
        <v>6.4399609105930357E-3</v>
      </c>
      <c r="F41" s="512">
        <v>1.9436031068043251E-2</v>
      </c>
      <c r="G41" s="512">
        <v>1.4940537906600103E-2</v>
      </c>
      <c r="H41" s="512">
        <v>2.8679358942365206E-3</v>
      </c>
      <c r="I41" s="512">
        <v>1.2096056152562193E-2</v>
      </c>
    </row>
    <row r="42" spans="2:9">
      <c r="B42" s="82" t="s">
        <v>19</v>
      </c>
      <c r="C42" s="82" t="s">
        <v>24</v>
      </c>
      <c r="D42" s="82" t="s">
        <v>16</v>
      </c>
      <c r="E42" s="507">
        <v>6.4614784293672472E-3</v>
      </c>
      <c r="F42" s="512">
        <v>1.914128807262945E-2</v>
      </c>
      <c r="G42" s="512">
        <v>1.4663754539953886E-2</v>
      </c>
      <c r="H42" s="512">
        <v>2.8383089833723522E-3</v>
      </c>
      <c r="I42" s="512">
        <v>1.1971099113543252E-2</v>
      </c>
    </row>
  </sheetData>
  <pageMargins left="0.70866141732283472" right="0.70866141732283472" top="0.74803149606299213" bottom="0.74803149606299213" header="0.31496062992125984" footer="0.31496062992125984"/>
  <pageSetup paperSize="8" scale="92"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B1:W58"/>
  <sheetViews>
    <sheetView topLeftCell="A12" zoomScale="90" zoomScaleNormal="90" workbookViewId="0">
      <selection activeCell="R45" sqref="R45"/>
    </sheetView>
  </sheetViews>
  <sheetFormatPr defaultRowHeight="12.75"/>
  <cols>
    <col min="2" max="2" width="24" customWidth="1"/>
    <col min="3" max="3" width="11.7109375" customWidth="1"/>
    <col min="5" max="5" width="17.42578125" customWidth="1"/>
    <col min="6" max="6" width="13.28515625" customWidth="1"/>
    <col min="7" max="7" width="14.28515625" customWidth="1"/>
    <col min="8" max="8" width="14.85546875" bestFit="1" customWidth="1"/>
    <col min="9" max="9" width="13" customWidth="1"/>
  </cols>
  <sheetData>
    <row r="1" spans="2:13">
      <c r="B1" s="435" t="s">
        <v>273</v>
      </c>
    </row>
    <row r="3" spans="2:13">
      <c r="B3" s="198" t="s">
        <v>419</v>
      </c>
    </row>
    <row r="5" spans="2:13" ht="44.25">
      <c r="B5" s="80" t="s">
        <v>0</v>
      </c>
      <c r="C5" s="80" t="s">
        <v>1</v>
      </c>
      <c r="D5" s="80" t="s">
        <v>2</v>
      </c>
      <c r="E5" s="559" t="s">
        <v>269</v>
      </c>
      <c r="F5" s="559" t="s">
        <v>224</v>
      </c>
      <c r="G5" s="556" t="s">
        <v>225</v>
      </c>
      <c r="H5" s="556" t="s">
        <v>5</v>
      </c>
      <c r="I5" s="559" t="s">
        <v>226</v>
      </c>
    </row>
    <row r="6" spans="2:13" ht="15">
      <c r="B6" s="81" t="s">
        <v>6</v>
      </c>
      <c r="C6" s="82"/>
      <c r="D6" s="82"/>
      <c r="E6" s="85"/>
      <c r="F6" s="85"/>
      <c r="G6" s="82"/>
      <c r="H6" s="82"/>
      <c r="I6" s="85"/>
      <c r="K6" s="46"/>
      <c r="M6" s="174"/>
    </row>
    <row r="7" spans="2:13" ht="15">
      <c r="B7" s="82" t="s">
        <v>23</v>
      </c>
      <c r="C7" s="82" t="s">
        <v>24</v>
      </c>
      <c r="D7" s="82" t="s">
        <v>16</v>
      </c>
      <c r="E7" s="505">
        <v>2.3379637330802865</v>
      </c>
      <c r="F7" s="505">
        <v>2.3088559000949891</v>
      </c>
      <c r="G7" s="506">
        <v>1.3630254554007031E-2</v>
      </c>
      <c r="H7" s="506">
        <v>1.5477578431290037E-2</v>
      </c>
      <c r="I7" s="507">
        <v>6.6207982821591101E-3</v>
      </c>
      <c r="M7" s="175"/>
    </row>
    <row r="8" spans="2:13" ht="15">
      <c r="B8" s="82" t="s">
        <v>25</v>
      </c>
      <c r="C8" s="82" t="s">
        <v>24</v>
      </c>
      <c r="D8" s="82" t="s">
        <v>16</v>
      </c>
      <c r="E8" s="505">
        <v>2.3600595007745002</v>
      </c>
      <c r="F8" s="505">
        <v>2.3307749390938999</v>
      </c>
      <c r="G8" s="506">
        <v>1.3713010872735999E-2</v>
      </c>
      <c r="H8" s="506">
        <v>1.5571550807868697E-2</v>
      </c>
      <c r="I8" s="507">
        <v>6.6111266944638338E-3</v>
      </c>
      <c r="K8" s="46"/>
      <c r="L8" s="46"/>
      <c r="M8" s="175"/>
    </row>
    <row r="9" spans="2:13">
      <c r="B9" s="509" t="s">
        <v>257</v>
      </c>
      <c r="C9" s="509" t="s">
        <v>24</v>
      </c>
      <c r="D9" s="509" t="s">
        <v>16</v>
      </c>
      <c r="E9" s="270">
        <f>C23</f>
        <v>2.3422662561338248</v>
      </c>
      <c r="F9" s="270">
        <f>D23</f>
        <v>2.3131240102556925</v>
      </c>
      <c r="G9" s="272">
        <f>E23</f>
        <v>1.3646368996106757E-2</v>
      </c>
      <c r="H9" s="272">
        <f>F23</f>
        <v>1.5495876882025982E-2</v>
      </c>
      <c r="I9" s="273">
        <v>6.6111266944638303E-3</v>
      </c>
    </row>
    <row r="10" spans="2:13">
      <c r="B10" s="82" t="s">
        <v>15</v>
      </c>
      <c r="C10" s="82" t="s">
        <v>24</v>
      </c>
      <c r="D10" s="82" t="s">
        <v>16</v>
      </c>
      <c r="E10" s="505">
        <v>2.7017096140180117</v>
      </c>
      <c r="F10" s="505">
        <v>2.6544781817301457</v>
      </c>
      <c r="G10" s="508">
        <v>3.0683993133648322E-3</v>
      </c>
      <c r="H10" s="506">
        <v>4.4163032974500978E-2</v>
      </c>
      <c r="I10" s="507">
        <v>9.552833083677232E-3</v>
      </c>
    </row>
    <row r="11" spans="2:13">
      <c r="B11" s="82" t="s">
        <v>26</v>
      </c>
      <c r="C11" s="82" t="s">
        <v>24</v>
      </c>
      <c r="D11" s="82" t="s">
        <v>16</v>
      </c>
      <c r="E11" s="505">
        <v>1.5183912570566038</v>
      </c>
      <c r="F11" s="505">
        <v>1.4978174490566039</v>
      </c>
      <c r="G11" s="506">
        <v>1.5884189999999999E-2</v>
      </c>
      <c r="H11" s="508">
        <v>4.6896180000000004E-3</v>
      </c>
      <c r="I11" s="507">
        <v>7.3533012379673607E-3</v>
      </c>
    </row>
    <row r="12" spans="2:13">
      <c r="B12" s="82" t="s">
        <v>52</v>
      </c>
      <c r="C12" s="82" t="s">
        <v>24</v>
      </c>
      <c r="D12" s="82" t="s">
        <v>16</v>
      </c>
      <c r="E12" s="715" t="s">
        <v>212</v>
      </c>
      <c r="F12" s="715" t="s">
        <v>212</v>
      </c>
      <c r="G12" s="716" t="s">
        <v>212</v>
      </c>
      <c r="H12" s="716" t="s">
        <v>212</v>
      </c>
      <c r="I12" s="717" t="s">
        <v>212</v>
      </c>
    </row>
    <row r="13" spans="2:13">
      <c r="B13" s="82" t="s">
        <v>18</v>
      </c>
      <c r="C13" s="82" t="s">
        <v>24</v>
      </c>
      <c r="D13" s="82" t="s">
        <v>16</v>
      </c>
      <c r="E13" s="505">
        <v>3.0180355654136179</v>
      </c>
      <c r="F13" s="505">
        <v>2.9881075813200204</v>
      </c>
      <c r="G13" s="508">
        <v>5.7358717884730404E-3</v>
      </c>
      <c r="H13" s="506">
        <v>2.4192112305124386E-2</v>
      </c>
      <c r="I13" s="507">
        <v>6.4399609105930357E-3</v>
      </c>
    </row>
    <row r="14" spans="2:13">
      <c r="B14" s="82" t="s">
        <v>19</v>
      </c>
      <c r="C14" s="82" t="s">
        <v>24</v>
      </c>
      <c r="D14" s="82" t="s">
        <v>16</v>
      </c>
      <c r="E14" s="505">
        <v>2.9623697241846085</v>
      </c>
      <c r="F14" s="505">
        <v>2.9327509079907799</v>
      </c>
      <c r="G14" s="508">
        <v>5.6766179667447E-3</v>
      </c>
      <c r="H14" s="506">
        <v>2.3942198227086504E-2</v>
      </c>
      <c r="I14" s="507">
        <v>6.4614784293672472E-3</v>
      </c>
    </row>
    <row r="15" spans="2:13">
      <c r="B15" s="95"/>
      <c r="C15" s="95"/>
      <c r="D15" s="95"/>
      <c r="E15" s="125"/>
      <c r="F15" s="126"/>
      <c r="G15" s="127"/>
      <c r="H15" s="125"/>
      <c r="I15" s="128"/>
    </row>
    <row r="16" spans="2:13">
      <c r="B16" s="77" t="s">
        <v>497</v>
      </c>
      <c r="C16" s="77"/>
      <c r="D16" s="77"/>
      <c r="E16" s="77"/>
      <c r="F16" s="77"/>
      <c r="G16" s="77"/>
      <c r="H16" s="77"/>
      <c r="I16" s="77"/>
    </row>
    <row r="17" spans="2:23">
      <c r="B17" s="124"/>
      <c r="C17" s="78"/>
      <c r="D17" s="78"/>
      <c r="E17" s="78"/>
      <c r="F17" s="78"/>
      <c r="G17" s="46"/>
      <c r="H17" s="78"/>
      <c r="I17" s="78"/>
      <c r="J17" s="46"/>
      <c r="K17" s="46"/>
    </row>
    <row r="18" spans="2:23">
      <c r="B18" s="78"/>
      <c r="C18" s="78"/>
      <c r="D18" s="78"/>
      <c r="E18" s="78"/>
      <c r="F18" s="78"/>
      <c r="G18" s="46"/>
      <c r="H18" s="124"/>
      <c r="I18" s="78"/>
      <c r="J18" s="46"/>
      <c r="K18" s="46"/>
      <c r="L18" s="63"/>
      <c r="M18" s="63"/>
      <c r="N18" s="63"/>
      <c r="O18" s="63"/>
      <c r="P18" s="63"/>
      <c r="Q18" s="63"/>
      <c r="R18" s="63"/>
      <c r="S18" s="63"/>
      <c r="T18" s="63"/>
      <c r="U18" s="63"/>
      <c r="V18" s="63"/>
      <c r="W18" s="63"/>
    </row>
    <row r="19" spans="2:23">
      <c r="B19" s="226" t="s">
        <v>71</v>
      </c>
      <c r="C19" s="718" t="s">
        <v>47</v>
      </c>
      <c r="D19" s="296"/>
      <c r="E19" s="295"/>
      <c r="F19" s="295"/>
      <c r="G19" s="295"/>
      <c r="H19" s="295"/>
      <c r="I19" s="295"/>
      <c r="J19" s="296"/>
      <c r="K19" s="297"/>
      <c r="L19" s="63"/>
      <c r="M19" s="225"/>
      <c r="N19" s="98"/>
      <c r="O19" s="63"/>
      <c r="P19" s="98"/>
      <c r="Q19" s="98"/>
      <c r="R19" s="98"/>
      <c r="S19" s="98"/>
      <c r="T19" s="98"/>
      <c r="U19" s="63"/>
      <c r="V19" s="63"/>
      <c r="W19" s="63"/>
    </row>
    <row r="20" spans="2:23">
      <c r="B20" s="510" t="s">
        <v>68</v>
      </c>
      <c r="C20" s="511">
        <v>85.699432843054396</v>
      </c>
      <c r="D20" s="444"/>
      <c r="E20" s="444"/>
      <c r="F20" s="444"/>
      <c r="G20" s="444"/>
      <c r="H20" s="299"/>
      <c r="I20" s="299"/>
      <c r="J20" s="106"/>
      <c r="K20" s="300"/>
      <c r="L20" s="63"/>
      <c r="M20" s="125"/>
      <c r="N20" s="125"/>
      <c r="O20" s="125"/>
      <c r="P20" s="125"/>
      <c r="Q20" s="125"/>
      <c r="R20" s="125"/>
      <c r="S20" s="98"/>
      <c r="T20" s="98"/>
      <c r="U20" s="63"/>
      <c r="V20" s="63"/>
      <c r="W20" s="63"/>
    </row>
    <row r="21" spans="2:23" ht="14.25">
      <c r="B21" s="510" t="s">
        <v>69</v>
      </c>
      <c r="C21" s="511">
        <v>20.722683969595</v>
      </c>
      <c r="D21" s="444"/>
      <c r="E21" s="444"/>
      <c r="F21" s="444"/>
      <c r="G21" s="444"/>
      <c r="H21" s="299"/>
      <c r="I21" s="299"/>
      <c r="J21" s="106"/>
      <c r="K21" s="300"/>
      <c r="L21" s="63"/>
      <c r="M21" s="278"/>
      <c r="N21" s="78"/>
      <c r="O21" s="78"/>
      <c r="P21" s="78"/>
      <c r="Q21" s="78"/>
      <c r="R21" s="78"/>
      <c r="S21" s="78"/>
      <c r="T21" s="78"/>
      <c r="U21" s="63"/>
      <c r="V21" s="63"/>
      <c r="W21" s="63"/>
    </row>
    <row r="22" spans="2:23" ht="15.75">
      <c r="B22" s="510"/>
      <c r="C22" s="719" t="s">
        <v>227</v>
      </c>
      <c r="D22" s="719" t="s">
        <v>228</v>
      </c>
      <c r="E22" s="719" t="s">
        <v>229</v>
      </c>
      <c r="F22" s="719" t="s">
        <v>230</v>
      </c>
      <c r="G22" s="719" t="s">
        <v>250</v>
      </c>
      <c r="H22" s="299"/>
      <c r="I22" s="299"/>
      <c r="J22" s="106"/>
      <c r="K22" s="300"/>
      <c r="L22" s="63"/>
      <c r="M22" s="78"/>
      <c r="N22" s="78"/>
      <c r="O22" s="78"/>
      <c r="P22" s="78"/>
      <c r="Q22" s="78"/>
      <c r="R22" s="78"/>
      <c r="S22" s="78"/>
      <c r="T22" s="78"/>
      <c r="U22" s="125"/>
      <c r="V22" s="63"/>
      <c r="W22" s="63"/>
    </row>
    <row r="23" spans="2:23">
      <c r="B23" s="510" t="s">
        <v>70</v>
      </c>
      <c r="C23" s="390">
        <f>(E7*$C$20+E8*$C$21)/($C$20+$C$21)</f>
        <v>2.3422662561338248</v>
      </c>
      <c r="D23" s="390">
        <f>(F7*$C$20+F8*$C$21)/($C$20+$C$21)</f>
        <v>2.3131240102556925</v>
      </c>
      <c r="E23" s="390">
        <f>(G7*$C$20+G8*$C$21)/($C$20+$C$21)</f>
        <v>1.3646368996106757E-2</v>
      </c>
      <c r="F23" s="390">
        <f>(H7*$C$20+H8*$C$21)/($C$20+$C$21)</f>
        <v>1.5495876882025982E-2</v>
      </c>
      <c r="G23" s="390">
        <f>C23-SUM(D23:F23)</f>
        <v>0</v>
      </c>
      <c r="H23" s="299"/>
      <c r="I23" s="299"/>
      <c r="J23" s="106"/>
      <c r="K23" s="300"/>
      <c r="L23" s="63"/>
      <c r="M23" s="78"/>
      <c r="N23" s="78"/>
      <c r="O23" s="78"/>
      <c r="P23" s="78"/>
      <c r="Q23" s="78"/>
      <c r="R23" s="78"/>
      <c r="S23" s="78"/>
      <c r="T23" s="78"/>
      <c r="U23" s="125"/>
      <c r="V23" s="63"/>
      <c r="W23" s="63"/>
    </row>
    <row r="24" spans="2:23">
      <c r="B24" s="298"/>
      <c r="C24" s="299"/>
      <c r="D24" s="299"/>
      <c r="E24" s="299"/>
      <c r="F24" s="299"/>
      <c r="G24" s="299"/>
      <c r="H24" s="299"/>
      <c r="I24" s="299"/>
      <c r="J24" s="106"/>
      <c r="K24" s="300"/>
      <c r="L24" s="63"/>
      <c r="M24" s="78"/>
      <c r="N24" s="78"/>
      <c r="O24" s="78"/>
      <c r="P24" s="78"/>
      <c r="Q24" s="78"/>
      <c r="R24" s="78"/>
      <c r="S24" s="78"/>
      <c r="T24" s="78"/>
      <c r="U24" s="125"/>
      <c r="V24" s="63"/>
      <c r="W24" s="63"/>
    </row>
    <row r="25" spans="2:23">
      <c r="B25" s="298" t="s">
        <v>498</v>
      </c>
      <c r="C25" s="299"/>
      <c r="D25" s="299"/>
      <c r="E25" s="299"/>
      <c r="F25" s="299"/>
      <c r="G25" s="299"/>
      <c r="H25" s="299"/>
      <c r="I25" s="299"/>
      <c r="J25" s="106"/>
      <c r="K25" s="300"/>
      <c r="L25" s="63"/>
      <c r="M25" s="78"/>
      <c r="N25" s="78"/>
      <c r="O25" s="78"/>
      <c r="P25" s="78"/>
      <c r="Q25" s="78"/>
      <c r="R25" s="78"/>
      <c r="S25" s="78"/>
      <c r="T25" s="78"/>
      <c r="U25" s="125"/>
      <c r="V25" s="63"/>
      <c r="W25" s="63"/>
    </row>
    <row r="26" spans="2:23">
      <c r="B26" s="227"/>
      <c r="C26" s="106"/>
      <c r="D26" s="106"/>
      <c r="E26" s="106"/>
      <c r="F26" s="106"/>
      <c r="G26" s="106"/>
      <c r="H26" s="106"/>
      <c r="I26" s="106"/>
      <c r="J26" s="106"/>
      <c r="K26" s="300"/>
      <c r="L26" s="63"/>
      <c r="M26" s="78"/>
      <c r="N26" s="78"/>
      <c r="O26" s="78"/>
      <c r="P26" s="78"/>
      <c r="Q26" s="78"/>
      <c r="R26" s="78"/>
      <c r="S26" s="78"/>
      <c r="T26" s="78"/>
      <c r="U26" s="125"/>
      <c r="V26" s="63"/>
      <c r="W26" s="63"/>
    </row>
    <row r="27" spans="2:23">
      <c r="B27" s="227" t="s">
        <v>370</v>
      </c>
      <c r="C27" s="106"/>
      <c r="D27" s="106"/>
      <c r="E27" s="106"/>
      <c r="F27" s="106"/>
      <c r="G27" s="106"/>
      <c r="H27" s="106"/>
      <c r="I27" s="106"/>
      <c r="J27" s="106"/>
      <c r="K27" s="300"/>
      <c r="L27" s="63"/>
      <c r="M27" s="78"/>
      <c r="N27" s="78"/>
      <c r="O27" s="78"/>
      <c r="P27" s="78"/>
      <c r="Q27" s="78"/>
      <c r="R27" s="78"/>
      <c r="S27" s="78"/>
      <c r="T27" s="78"/>
      <c r="U27" s="125"/>
      <c r="V27" s="63"/>
      <c r="W27" s="63"/>
    </row>
    <row r="28" spans="2:23">
      <c r="B28" s="338" t="s">
        <v>420</v>
      </c>
      <c r="C28" s="106"/>
      <c r="D28" s="106"/>
      <c r="E28" s="106"/>
      <c r="F28" s="106"/>
      <c r="G28" s="106"/>
      <c r="H28" s="106"/>
      <c r="I28" s="106"/>
      <c r="J28" s="106"/>
      <c r="K28" s="300"/>
      <c r="L28" s="63"/>
      <c r="M28" s="78"/>
      <c r="N28" s="78"/>
      <c r="O28" s="78"/>
      <c r="P28" s="78"/>
      <c r="Q28" s="78"/>
      <c r="R28" s="78"/>
      <c r="S28" s="78"/>
      <c r="T28" s="78"/>
      <c r="U28" s="125"/>
      <c r="V28" s="63"/>
      <c r="W28" s="63"/>
    </row>
    <row r="29" spans="2:23">
      <c r="B29" s="302" t="s">
        <v>421</v>
      </c>
      <c r="C29" s="303"/>
      <c r="D29" s="303"/>
      <c r="E29" s="303"/>
      <c r="F29" s="303"/>
      <c r="G29" s="303"/>
      <c r="H29" s="303"/>
      <c r="I29" s="303"/>
      <c r="J29" s="303"/>
      <c r="K29" s="304"/>
      <c r="L29" s="63"/>
      <c r="M29" s="78"/>
      <c r="N29" s="78"/>
      <c r="O29" s="78"/>
      <c r="P29" s="78"/>
      <c r="Q29" s="78"/>
      <c r="R29" s="78"/>
      <c r="S29" s="78"/>
      <c r="T29" s="78"/>
      <c r="U29" s="125"/>
      <c r="V29" s="63"/>
      <c r="W29" s="63"/>
    </row>
    <row r="30" spans="2:23">
      <c r="L30" s="63"/>
      <c r="M30" s="78"/>
      <c r="N30" s="78"/>
      <c r="O30" s="78"/>
      <c r="P30" s="78"/>
      <c r="Q30" s="78"/>
      <c r="R30" s="78"/>
      <c r="S30" s="78"/>
      <c r="T30" s="78"/>
      <c r="U30" s="125"/>
      <c r="V30" s="63"/>
      <c r="W30" s="63"/>
    </row>
    <row r="31" spans="2:23">
      <c r="B31" s="46"/>
      <c r="C31" s="46"/>
      <c r="D31" s="46"/>
      <c r="E31" s="46"/>
      <c r="F31" s="46"/>
      <c r="G31" s="46"/>
      <c r="H31" s="46"/>
      <c r="I31" s="46"/>
      <c r="J31" s="46"/>
      <c r="K31" s="46"/>
      <c r="L31" s="63"/>
      <c r="S31" s="125"/>
      <c r="T31" s="125"/>
      <c r="U31" s="125"/>
      <c r="V31" s="63"/>
      <c r="W31" s="63"/>
    </row>
    <row r="32" spans="2:23">
      <c r="B32" s="46"/>
      <c r="C32" s="46"/>
      <c r="D32" s="46"/>
      <c r="E32" s="46"/>
      <c r="F32" s="46"/>
      <c r="G32" s="46"/>
      <c r="H32" s="46"/>
      <c r="I32" s="46"/>
      <c r="J32" s="46"/>
      <c r="K32" s="46"/>
      <c r="L32" s="63"/>
      <c r="S32" s="125"/>
      <c r="T32" s="125"/>
      <c r="U32" s="125"/>
      <c r="V32" s="63"/>
      <c r="W32" s="63"/>
    </row>
    <row r="33" spans="2:23">
      <c r="E33" s="342"/>
      <c r="L33" s="63"/>
      <c r="S33" s="63"/>
      <c r="T33" s="63"/>
      <c r="U33" s="63"/>
      <c r="V33" s="63"/>
      <c r="W33" s="63"/>
    </row>
    <row r="34" spans="2:23">
      <c r="R34" s="63"/>
      <c r="S34" s="63"/>
      <c r="T34" s="63"/>
      <c r="U34" s="63"/>
      <c r="V34" s="63"/>
    </row>
    <row r="35" spans="2:23">
      <c r="B35" s="48" t="s">
        <v>453</v>
      </c>
      <c r="S35" s="63"/>
      <c r="T35" s="63"/>
      <c r="U35" s="63"/>
      <c r="V35" s="63"/>
      <c r="W35" s="63"/>
    </row>
    <row r="36" spans="2:23">
      <c r="S36" s="63"/>
      <c r="T36" s="63"/>
      <c r="U36" s="63"/>
      <c r="V36" s="63"/>
      <c r="W36" s="63"/>
    </row>
    <row r="37" spans="2:23" ht="14.25">
      <c r="B37" s="423" t="s">
        <v>457</v>
      </c>
      <c r="C37" s="423" t="s">
        <v>478</v>
      </c>
      <c r="D37" s="423" t="s">
        <v>479</v>
      </c>
      <c r="E37" s="424" t="s">
        <v>480</v>
      </c>
    </row>
    <row r="38" spans="2:23">
      <c r="B38" s="373" t="s">
        <v>455</v>
      </c>
      <c r="C38" s="179">
        <v>1</v>
      </c>
      <c r="D38" s="570">
        <v>21</v>
      </c>
      <c r="E38" s="571">
        <v>310</v>
      </c>
    </row>
    <row r="39" spans="2:23">
      <c r="B39" s="50" t="s">
        <v>456</v>
      </c>
      <c r="C39" s="572">
        <v>1</v>
      </c>
      <c r="D39" s="572">
        <v>25</v>
      </c>
      <c r="E39" s="572">
        <v>298</v>
      </c>
    </row>
    <row r="40" spans="2:23">
      <c r="B40" s="50" t="s">
        <v>454</v>
      </c>
      <c r="C40" s="564" t="s">
        <v>212</v>
      </c>
      <c r="D40" s="573">
        <f>D39/D38</f>
        <v>1.1904761904761905</v>
      </c>
      <c r="E40" s="574">
        <f>E39/E38</f>
        <v>0.96129032258064517</v>
      </c>
    </row>
    <row r="41" spans="2:23">
      <c r="B41" s="46" t="s">
        <v>485</v>
      </c>
    </row>
    <row r="42" spans="2:23">
      <c r="B42" s="13" t="s">
        <v>486</v>
      </c>
    </row>
    <row r="43" spans="2:23">
      <c r="B43" s="47" t="s">
        <v>458</v>
      </c>
    </row>
    <row r="47" spans="2:23">
      <c r="B47" s="198" t="s">
        <v>419</v>
      </c>
    </row>
    <row r="48" spans="2:23">
      <c r="B48" s="397" t="s">
        <v>481</v>
      </c>
    </row>
    <row r="49" spans="2:9" ht="44.25">
      <c r="B49" s="344" t="s">
        <v>0</v>
      </c>
      <c r="C49" s="344" t="s">
        <v>1</v>
      </c>
      <c r="D49" s="344" t="s">
        <v>2</v>
      </c>
      <c r="E49" s="559" t="s">
        <v>269</v>
      </c>
      <c r="F49" s="559" t="s">
        <v>224</v>
      </c>
      <c r="G49" s="556" t="s">
        <v>225</v>
      </c>
      <c r="H49" s="720" t="s">
        <v>5</v>
      </c>
      <c r="I49" s="559" t="s">
        <v>226</v>
      </c>
    </row>
    <row r="50" spans="2:9">
      <c r="B50" s="81" t="s">
        <v>6</v>
      </c>
      <c r="C50" s="82"/>
      <c r="D50" s="82"/>
      <c r="E50" s="85"/>
      <c r="F50" s="85"/>
      <c r="G50" s="82"/>
      <c r="H50" s="82"/>
      <c r="I50" s="85"/>
    </row>
    <row r="51" spans="2:9">
      <c r="B51" s="509" t="s">
        <v>23</v>
      </c>
      <c r="C51" s="509" t="s">
        <v>24</v>
      </c>
      <c r="D51" s="509" t="s">
        <v>16</v>
      </c>
      <c r="E51" s="505">
        <f>SUM(F51:H51)</f>
        <v>2.3399608399746463</v>
      </c>
      <c r="F51" s="505">
        <f>F7</f>
        <v>2.3088559000949891</v>
      </c>
      <c r="G51" s="506">
        <f>G7*$D$40</f>
        <v>1.6226493516675038E-2</v>
      </c>
      <c r="H51" s="506">
        <f>H7*$E$40</f>
        <v>1.4878446362982035E-2</v>
      </c>
      <c r="I51" s="507">
        <v>6.6207982821591101E-3</v>
      </c>
    </row>
    <row r="52" spans="2:9">
      <c r="B52" s="509" t="s">
        <v>25</v>
      </c>
      <c r="C52" s="509" t="s">
        <v>24</v>
      </c>
      <c r="D52" s="509" t="s">
        <v>16</v>
      </c>
      <c r="E52" s="505">
        <f>SUM(F52:H52)</f>
        <v>2.3620687331368102</v>
      </c>
      <c r="F52" s="505">
        <f t="shared" ref="F52:F55" si="0">F8</f>
        <v>2.3307749390938999</v>
      </c>
      <c r="G52" s="506">
        <f t="shared" ref="G52:G55" si="1">G8*$D$40</f>
        <v>1.6325012943733331E-2</v>
      </c>
      <c r="H52" s="506">
        <f t="shared" ref="H52:H55" si="2">H8*$E$40</f>
        <v>1.4968781099177006E-2</v>
      </c>
      <c r="I52" s="507">
        <v>6.6111266944638338E-3</v>
      </c>
    </row>
    <row r="53" spans="2:9">
      <c r="B53" s="509" t="s">
        <v>257</v>
      </c>
      <c r="C53" s="509" t="s">
        <v>24</v>
      </c>
      <c r="D53" s="509" t="s">
        <v>16</v>
      </c>
      <c r="E53" s="270">
        <f>SUM(F53:H53)</f>
        <v>2.3442657241186029</v>
      </c>
      <c r="F53" s="505">
        <f>F9</f>
        <v>2.3131240102556925</v>
      </c>
      <c r="G53" s="506">
        <f>(G51*$C$20+G52*$C$21)/($C$20+$C$21)</f>
        <v>1.6245677376317567E-2</v>
      </c>
      <c r="H53" s="506">
        <f>(H51*$C$20+H52*$C$21)/($C$20+$C$21)</f>
        <v>1.4896036486592719E-2</v>
      </c>
      <c r="I53" s="273">
        <v>6.6111266944638303E-3</v>
      </c>
    </row>
    <row r="54" spans="2:9">
      <c r="B54" s="509" t="s">
        <v>15</v>
      </c>
      <c r="C54" s="509" t="s">
        <v>24</v>
      </c>
      <c r="D54" s="509" t="s">
        <v>16</v>
      </c>
      <c r="E54" s="505">
        <f>SUM(F54:H54)</f>
        <v>2.7005845342697778</v>
      </c>
      <c r="F54" s="505">
        <f t="shared" si="0"/>
        <v>2.6544781817301457</v>
      </c>
      <c r="G54" s="508">
        <f>G10*$D$40</f>
        <v>3.6528563254343239E-3</v>
      </c>
      <c r="H54" s="506">
        <f>H10*$E$40</f>
        <v>4.2453496214197715E-2</v>
      </c>
      <c r="I54" s="507">
        <v>9.552833083677232E-3</v>
      </c>
    </row>
    <row r="55" spans="2:9">
      <c r="B55" s="509" t="s">
        <v>26</v>
      </c>
      <c r="C55" s="509" t="s">
        <v>24</v>
      </c>
      <c r="D55" s="509" t="s">
        <v>16</v>
      </c>
      <c r="E55" s="505">
        <f>SUM(F55:H55)</f>
        <v>1.5212352834566039</v>
      </c>
      <c r="F55" s="505">
        <f t="shared" si="0"/>
        <v>1.4978174490566039</v>
      </c>
      <c r="G55" s="506">
        <f t="shared" si="1"/>
        <v>1.8909749999999999E-2</v>
      </c>
      <c r="H55" s="508">
        <f t="shared" si="2"/>
        <v>4.5080844000000009E-3</v>
      </c>
      <c r="I55" s="507">
        <v>7.3533012379673607E-3</v>
      </c>
    </row>
    <row r="56" spans="2:9">
      <c r="B56" s="509" t="s">
        <v>52</v>
      </c>
      <c r="C56" s="509" t="s">
        <v>24</v>
      </c>
      <c r="D56" s="509" t="s">
        <v>16</v>
      </c>
      <c r="E56" s="715" t="s">
        <v>212</v>
      </c>
      <c r="F56" s="715" t="s">
        <v>212</v>
      </c>
      <c r="G56" s="716" t="s">
        <v>212</v>
      </c>
      <c r="H56" s="716" t="s">
        <v>212</v>
      </c>
      <c r="I56" s="717" t="s">
        <v>212</v>
      </c>
    </row>
    <row r="57" spans="2:9">
      <c r="B57" s="509" t="s">
        <v>18</v>
      </c>
      <c r="C57" s="509" t="s">
        <v>24</v>
      </c>
      <c r="D57" s="509" t="s">
        <v>16</v>
      </c>
      <c r="E57" s="505">
        <f>SUM(F57:H57)</f>
        <v>3.0181916435575218</v>
      </c>
      <c r="F57" s="505">
        <f>F13</f>
        <v>2.9881075813200204</v>
      </c>
      <c r="G57" s="508">
        <f>G13*$D$40</f>
        <v>6.8284187958012384E-3</v>
      </c>
      <c r="H57" s="506">
        <f>H13*$E$40</f>
        <v>2.3255643441700218E-2</v>
      </c>
      <c r="I57" s="507">
        <v>6.4399609105930357E-3</v>
      </c>
    </row>
    <row r="58" spans="2:9">
      <c r="B58" s="509" t="s">
        <v>19</v>
      </c>
      <c r="C58" s="509" t="s">
        <v>24</v>
      </c>
      <c r="D58" s="509" t="s">
        <v>16</v>
      </c>
      <c r="E58" s="505">
        <f>SUM(F58:H58)</f>
        <v>2.9625241899796242</v>
      </c>
      <c r="F58" s="505">
        <f>F14</f>
        <v>2.9327509079907799</v>
      </c>
      <c r="G58" s="508">
        <f>G14*$D$40</f>
        <v>6.7578785318389289E-3</v>
      </c>
      <c r="H58" s="506">
        <f>H14*$E$40</f>
        <v>2.3015403457005736E-2</v>
      </c>
      <c r="I58" s="507">
        <v>6.4614784293672472E-3</v>
      </c>
    </row>
  </sheetData>
  <hyperlinks>
    <hyperlink ref="B42" r:id="rId1"/>
    <hyperlink ref="B28" r:id="rId2"/>
  </hyperlinks>
  <pageMargins left="0.70866141732283472" right="0.70866141732283472" top="0.74803149606299213" bottom="0.74803149606299213" header="0.31496062992125984" footer="0.31496062992125984"/>
  <pageSetup paperSize="8" scale="67" orientation="landscape" r:id="rId3"/>
  <ignoredErrors>
    <ignoredError sqref="G53:H53" formula="1"/>
  </ignoredErrors>
  <drawing r:id="rId4"/>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B1:Q41"/>
  <sheetViews>
    <sheetView topLeftCell="A9" zoomScaleNormal="100" workbookViewId="0">
      <selection activeCell="L38" sqref="L38"/>
    </sheetView>
  </sheetViews>
  <sheetFormatPr defaultColWidth="9.140625" defaultRowHeight="12.75"/>
  <cols>
    <col min="1" max="1" width="9.140625" style="7"/>
    <col min="2" max="2" width="40.140625" style="7" customWidth="1"/>
    <col min="3" max="3" width="12" style="7" bestFit="1" customWidth="1"/>
    <col min="4" max="4" width="12.5703125" style="7" bestFit="1" customWidth="1"/>
    <col min="5" max="5" width="20.28515625" style="7" bestFit="1" customWidth="1"/>
    <col min="6" max="6" width="18" style="7" customWidth="1"/>
    <col min="7" max="7" width="13.7109375" style="7" customWidth="1"/>
    <col min="8" max="8" width="15" style="7" customWidth="1"/>
    <col min="9" max="9" width="14.28515625" style="7" customWidth="1"/>
    <col min="10" max="10" width="15.85546875" style="7" customWidth="1"/>
    <col min="11" max="13" width="14.28515625" style="7" customWidth="1"/>
    <col min="14" max="14" width="37" style="7" customWidth="1"/>
    <col min="15" max="15" width="18.5703125" style="7" customWidth="1"/>
    <col min="16" max="16" width="10.85546875" style="7" customWidth="1"/>
    <col min="17" max="17" width="11" style="7" customWidth="1"/>
    <col min="18" max="16384" width="9.140625" style="7"/>
  </cols>
  <sheetData>
    <row r="1" spans="2:14">
      <c r="B1" s="437" t="s">
        <v>272</v>
      </c>
    </row>
    <row r="2" spans="2:14">
      <c r="B2" s="157"/>
      <c r="C2" s="188"/>
      <c r="D2" s="188"/>
      <c r="E2" s="86"/>
    </row>
    <row r="3" spans="2:14">
      <c r="B3" s="199" t="s">
        <v>422</v>
      </c>
    </row>
    <row r="4" spans="2:14" ht="57">
      <c r="B4" s="724" t="s">
        <v>345</v>
      </c>
      <c r="C4" s="208" t="s">
        <v>2</v>
      </c>
      <c r="D4" s="209" t="s">
        <v>58</v>
      </c>
      <c r="E4" s="210" t="s">
        <v>371</v>
      </c>
      <c r="F4" s="722" t="s">
        <v>372</v>
      </c>
      <c r="G4" s="722" t="s">
        <v>373</v>
      </c>
      <c r="H4" s="723" t="s">
        <v>374</v>
      </c>
      <c r="J4" s="382"/>
      <c r="K4" s="382"/>
      <c r="L4" s="382"/>
      <c r="M4" s="383"/>
    </row>
    <row r="5" spans="2:14">
      <c r="B5" s="200" t="s">
        <v>60</v>
      </c>
      <c r="C5" s="721" t="s">
        <v>61</v>
      </c>
      <c r="D5" s="480">
        <v>7.5406000762376975</v>
      </c>
      <c r="E5" s="465">
        <f>I14</f>
        <v>0.17662093109571703</v>
      </c>
      <c r="F5" s="465">
        <f>J14</f>
        <v>0.17442343088081322</v>
      </c>
      <c r="G5" s="503">
        <f>K14</f>
        <v>1.0290181109241035E-3</v>
      </c>
      <c r="H5" s="503">
        <f>L14</f>
        <v>1.1684821039797508E-3</v>
      </c>
      <c r="J5" s="153"/>
      <c r="K5" s="384"/>
      <c r="L5" s="384"/>
      <c r="M5" s="385"/>
      <c r="N5" s="171"/>
    </row>
    <row r="6" spans="2:14">
      <c r="B6" s="200" t="s">
        <v>503</v>
      </c>
      <c r="C6" s="721" t="s">
        <v>61</v>
      </c>
      <c r="D6" s="481">
        <v>9.8015963314361265</v>
      </c>
      <c r="E6" s="465">
        <f>I15</f>
        <v>0.22957948343367929</v>
      </c>
      <c r="F6" s="465">
        <f t="shared" ref="F6" si="0">J15</f>
        <v>0.22672307813079018</v>
      </c>
      <c r="G6" s="503">
        <f>K15</f>
        <v>1.337562002896637E-3</v>
      </c>
      <c r="H6" s="503">
        <f>L15</f>
        <v>1.5188432999925176E-3</v>
      </c>
      <c r="J6" s="47"/>
      <c r="K6" s="386"/>
      <c r="L6" s="386"/>
      <c r="M6" s="386"/>
    </row>
    <row r="7" spans="2:14">
      <c r="B7" s="200" t="s">
        <v>65</v>
      </c>
      <c r="C7" s="721" t="s">
        <v>61</v>
      </c>
      <c r="D7" s="504">
        <v>12.855716927463327</v>
      </c>
      <c r="E7" s="465">
        <f>I16</f>
        <v>0.30111511957605763</v>
      </c>
      <c r="F7" s="465">
        <f>J16</f>
        <v>0.29736867493965957</v>
      </c>
      <c r="G7" s="503">
        <f>K16</f>
        <v>1.7543385690166034E-3</v>
      </c>
      <c r="H7" s="503">
        <f>L16</f>
        <v>1.9921060673814906E-3</v>
      </c>
      <c r="J7" s="47"/>
      <c r="K7" s="317"/>
      <c r="L7" s="387"/>
      <c r="M7" s="388"/>
    </row>
    <row r="8" spans="2:14">
      <c r="B8" s="212" t="s">
        <v>346</v>
      </c>
      <c r="C8" s="721" t="s">
        <v>61</v>
      </c>
      <c r="D8" s="481">
        <v>9.8015963314361265</v>
      </c>
      <c r="E8" s="465">
        <f>I15</f>
        <v>0.22957948343367929</v>
      </c>
      <c r="F8" s="465">
        <f>J15</f>
        <v>0.22672307813079018</v>
      </c>
      <c r="G8" s="503">
        <f>K15</f>
        <v>1.337562002896637E-3</v>
      </c>
      <c r="H8" s="503">
        <f>L15</f>
        <v>1.5188432999925176E-3</v>
      </c>
      <c r="J8" s="46"/>
      <c r="K8"/>
      <c r="L8"/>
      <c r="M8"/>
      <c r="N8" s="15"/>
    </row>
    <row r="9" spans="2:14" ht="25.5" customHeight="1">
      <c r="B9" s="758" t="s">
        <v>504</v>
      </c>
      <c r="C9" s="758"/>
      <c r="D9" s="758"/>
      <c r="E9" s="758"/>
      <c r="F9" s="758"/>
      <c r="G9" s="758"/>
      <c r="H9" s="758"/>
      <c r="J9" s="47"/>
      <c r="K9"/>
      <c r="L9"/>
      <c r="M9"/>
    </row>
    <row r="10" spans="2:14" ht="22.5" customHeight="1">
      <c r="B10" s="759" t="s">
        <v>505</v>
      </c>
      <c r="C10" s="759"/>
      <c r="D10" s="759"/>
      <c r="E10" s="759"/>
      <c r="F10" s="759"/>
      <c r="G10" s="759"/>
      <c r="H10" s="759"/>
    </row>
    <row r="11" spans="2:14">
      <c r="B11" s="221"/>
      <c r="C11" s="221"/>
      <c r="D11" s="222"/>
      <c r="E11" s="222"/>
      <c r="F11" s="222"/>
      <c r="G11" s="222"/>
      <c r="H11" s="222"/>
    </row>
    <row r="12" spans="2:14">
      <c r="B12" s="19" t="s">
        <v>331</v>
      </c>
    </row>
    <row r="13" spans="2:14" ht="63.75">
      <c r="B13" s="204" t="s">
        <v>0</v>
      </c>
      <c r="C13" s="205" t="s">
        <v>53</v>
      </c>
      <c r="D13" s="206" t="s">
        <v>54</v>
      </c>
      <c r="E13" s="206" t="s">
        <v>72</v>
      </c>
      <c r="F13" s="569" t="s">
        <v>363</v>
      </c>
      <c r="G13" s="569" t="s">
        <v>364</v>
      </c>
      <c r="H13" s="569" t="s">
        <v>365</v>
      </c>
      <c r="I13" s="569" t="s">
        <v>55</v>
      </c>
      <c r="J13" s="569" t="s">
        <v>328</v>
      </c>
      <c r="K13" s="205" t="s">
        <v>329</v>
      </c>
      <c r="L13" s="207" t="s">
        <v>330</v>
      </c>
      <c r="M13" s="6"/>
    </row>
    <row r="14" spans="2:14">
      <c r="B14" s="200" t="s">
        <v>56</v>
      </c>
      <c r="C14" s="480">
        <v>7.5406000762376975</v>
      </c>
      <c r="D14" s="467">
        <f>C14/100</f>
        <v>7.5406000762376968E-2</v>
      </c>
      <c r="E14" s="466">
        <f>'Scope 1 Transport fuels'!E9</f>
        <v>2.3422662561338248</v>
      </c>
      <c r="F14" s="466">
        <f>'Scope 1 Transport fuels'!F9</f>
        <v>2.3131240102556925</v>
      </c>
      <c r="G14" s="467">
        <f>'Scope 1 Transport fuels'!G9</f>
        <v>1.3646368996106757E-2</v>
      </c>
      <c r="H14" s="467">
        <f>'Scope 1 Transport fuels'!H9</f>
        <v>1.5495876882025982E-2</v>
      </c>
      <c r="I14" s="465">
        <f>D14*E14</f>
        <v>0.17662093109571703</v>
      </c>
      <c r="J14" s="465">
        <f>D14*F14</f>
        <v>0.17442343088081322</v>
      </c>
      <c r="K14" s="503">
        <f>D14*G14</f>
        <v>1.0290181109241035E-3</v>
      </c>
      <c r="L14" s="503">
        <f>D14*H14</f>
        <v>1.1684821039797508E-3</v>
      </c>
    </row>
    <row r="15" spans="2:14">
      <c r="B15" s="212" t="s">
        <v>506</v>
      </c>
      <c r="C15" s="481">
        <v>9.8015963314361265</v>
      </c>
      <c r="D15" s="465">
        <f>C15/100</f>
        <v>9.8015963314361271E-2</v>
      </c>
      <c r="E15" s="466">
        <f>E14</f>
        <v>2.3422662561338248</v>
      </c>
      <c r="F15" s="466">
        <f>F14</f>
        <v>2.3131240102556925</v>
      </c>
      <c r="G15" s="467">
        <f>G14</f>
        <v>1.3646368996106757E-2</v>
      </c>
      <c r="H15" s="467">
        <f>H14</f>
        <v>1.5495876882025982E-2</v>
      </c>
      <c r="I15" s="465">
        <f>D15*E15</f>
        <v>0.22957948343367929</v>
      </c>
      <c r="J15" s="465">
        <f>D15*F15</f>
        <v>0.22672307813079018</v>
      </c>
      <c r="K15" s="503">
        <f>D15*G15</f>
        <v>1.337562002896637E-3</v>
      </c>
      <c r="L15" s="503">
        <f>D15*H15</f>
        <v>1.5188432999925176E-3</v>
      </c>
    </row>
    <row r="16" spans="2:14">
      <c r="B16" s="200" t="s">
        <v>57</v>
      </c>
      <c r="C16" s="504">
        <v>12.855716927463327</v>
      </c>
      <c r="D16" s="465">
        <f>C16/100</f>
        <v>0.12855716927463326</v>
      </c>
      <c r="E16" s="466">
        <f>E14</f>
        <v>2.3422662561338248</v>
      </c>
      <c r="F16" s="466">
        <f>F14</f>
        <v>2.3131240102556925</v>
      </c>
      <c r="G16" s="467">
        <f>G14</f>
        <v>1.3646368996106757E-2</v>
      </c>
      <c r="H16" s="467">
        <f>H14</f>
        <v>1.5495876882025982E-2</v>
      </c>
      <c r="I16" s="465">
        <f>D16*E16</f>
        <v>0.30111511957605763</v>
      </c>
      <c r="J16" s="465">
        <f>D16*F16</f>
        <v>0.29736867493965957</v>
      </c>
      <c r="K16" s="503">
        <f>D16*G16</f>
        <v>1.7543385690166034E-3</v>
      </c>
      <c r="L16" s="503">
        <f>D16*H16</f>
        <v>1.9921060673814906E-3</v>
      </c>
      <c r="N16" s="10"/>
    </row>
    <row r="17" spans="2:17" s="164" customFormat="1">
      <c r="C17" s="166"/>
      <c r="D17" s="167"/>
      <c r="E17" s="166"/>
      <c r="F17" s="166"/>
      <c r="G17" s="168"/>
      <c r="H17" s="168"/>
      <c r="I17" s="167"/>
      <c r="J17" s="167"/>
      <c r="K17" s="169"/>
      <c r="L17" s="169"/>
      <c r="N17" s="170"/>
    </row>
    <row r="18" spans="2:17" s="164" customFormat="1">
      <c r="C18" s="166"/>
      <c r="D18" s="167"/>
      <c r="E18" s="166"/>
      <c r="F18" s="166"/>
      <c r="G18" s="168"/>
      <c r="H18" s="168"/>
      <c r="I18" s="167"/>
      <c r="J18" s="167"/>
      <c r="K18" s="169"/>
      <c r="L18" s="169"/>
      <c r="N18" s="170"/>
    </row>
    <row r="19" spans="2:17" s="164" customFormat="1">
      <c r="C19" s="166"/>
      <c r="D19" s="167"/>
      <c r="E19" s="166"/>
      <c r="F19" s="166"/>
      <c r="G19" s="168"/>
      <c r="H19" s="168"/>
      <c r="I19" s="167"/>
      <c r="J19" s="167"/>
      <c r="K19" s="169"/>
      <c r="L19" s="169"/>
      <c r="N19" s="400"/>
    </row>
    <row r="20" spans="2:17">
      <c r="M20" s="164"/>
      <c r="N20" s="400"/>
    </row>
    <row r="21" spans="2:17" ht="15.75" customHeight="1">
      <c r="M21" s="164"/>
      <c r="N21" s="400"/>
      <c r="O21" s="11"/>
      <c r="P21" s="11"/>
      <c r="Q21" s="12"/>
    </row>
    <row r="22" spans="2:17">
      <c r="B22" s="48" t="s">
        <v>453</v>
      </c>
      <c r="C22"/>
      <c r="D22"/>
      <c r="E22"/>
      <c r="N22" s="9"/>
      <c r="O22" s="9"/>
      <c r="P22" s="9"/>
      <c r="Q22" s="9"/>
    </row>
    <row r="23" spans="2:17" ht="14.25">
      <c r="B23" s="710" t="s">
        <v>457</v>
      </c>
      <c r="C23" s="423" t="s">
        <v>478</v>
      </c>
      <c r="D23" s="423" t="s">
        <v>479</v>
      </c>
      <c r="E23" s="424" t="s">
        <v>480</v>
      </c>
      <c r="F23" s="9"/>
      <c r="J23" s="33"/>
    </row>
    <row r="24" spans="2:17" ht="12.75" customHeight="1">
      <c r="B24" s="373" t="s">
        <v>455</v>
      </c>
      <c r="C24" s="560">
        <v>1</v>
      </c>
      <c r="D24" s="561">
        <v>21</v>
      </c>
      <c r="E24" s="562">
        <v>310</v>
      </c>
      <c r="F24" s="9"/>
      <c r="J24" s="33"/>
      <c r="O24" s="9"/>
    </row>
    <row r="25" spans="2:17">
      <c r="B25" s="50" t="s">
        <v>456</v>
      </c>
      <c r="C25" s="563">
        <v>1</v>
      </c>
      <c r="D25" s="563">
        <v>25</v>
      </c>
      <c r="E25" s="563">
        <v>298</v>
      </c>
      <c r="F25" s="9"/>
      <c r="J25" s="33"/>
      <c r="O25" s="9"/>
    </row>
    <row r="26" spans="2:17">
      <c r="B26" s="50" t="s">
        <v>454</v>
      </c>
      <c r="C26" s="564" t="s">
        <v>212</v>
      </c>
      <c r="D26" s="565">
        <f>D25/D24</f>
        <v>1.1904761904761905</v>
      </c>
      <c r="E26" s="566">
        <f>E25/E24</f>
        <v>0.96129032258064517</v>
      </c>
      <c r="F26" s="9"/>
      <c r="O26" s="9"/>
    </row>
    <row r="27" spans="2:17">
      <c r="B27" s="47" t="s">
        <v>485</v>
      </c>
      <c r="C27"/>
      <c r="D27"/>
      <c r="E27"/>
      <c r="O27" s="9"/>
    </row>
    <row r="28" spans="2:17">
      <c r="B28" s="13" t="s">
        <v>488</v>
      </c>
      <c r="C28"/>
      <c r="D28"/>
      <c r="E28"/>
    </row>
    <row r="29" spans="2:17">
      <c r="B29" s="7" t="s">
        <v>458</v>
      </c>
      <c r="C29" s="164"/>
      <c r="D29" s="164"/>
      <c r="E29" s="164"/>
      <c r="F29" s="164"/>
      <c r="G29" s="164"/>
      <c r="H29" s="164"/>
    </row>
    <row r="32" spans="2:17">
      <c r="B32" s="13"/>
    </row>
    <row r="33" spans="2:8">
      <c r="B33" s="199" t="s">
        <v>422</v>
      </c>
    </row>
    <row r="34" spans="2:8">
      <c r="B34" s="397" t="s">
        <v>481</v>
      </c>
    </row>
    <row r="35" spans="2:8" ht="57">
      <c r="B35" s="724" t="s">
        <v>345</v>
      </c>
      <c r="C35" s="208" t="s">
        <v>2</v>
      </c>
      <c r="D35" s="209" t="s">
        <v>58</v>
      </c>
      <c r="E35" s="210" t="s">
        <v>371</v>
      </c>
      <c r="F35" s="210" t="s">
        <v>372</v>
      </c>
      <c r="G35" s="210" t="s">
        <v>373</v>
      </c>
      <c r="H35" s="211" t="s">
        <v>374</v>
      </c>
    </row>
    <row r="36" spans="2:8">
      <c r="B36" s="200" t="s">
        <v>60</v>
      </c>
      <c r="C36" s="721" t="s">
        <v>61</v>
      </c>
      <c r="D36" s="480">
        <v>7.5406000762376975</v>
      </c>
      <c r="E36" s="465">
        <f>SUM(F36:H36)</f>
        <v>0.17677170298010156</v>
      </c>
      <c r="F36" s="465">
        <f>F5</f>
        <v>0.17442343088081322</v>
      </c>
      <c r="G36" s="503">
        <f>G5*$D$26</f>
        <v>1.2250215606239327E-3</v>
      </c>
      <c r="H36" s="503">
        <f>H5*$E$26</f>
        <v>1.1232505386644055E-3</v>
      </c>
    </row>
    <row r="37" spans="2:8">
      <c r="B37" s="200" t="s">
        <v>63</v>
      </c>
      <c r="C37" s="721" t="s">
        <v>61</v>
      </c>
      <c r="D37" s="481">
        <v>9.8015963314361265</v>
      </c>
      <c r="E37" s="465">
        <f t="shared" ref="E37:E39" si="1">SUM(F37:H37)</f>
        <v>0.22977546321432354</v>
      </c>
      <c r="F37" s="465">
        <f t="shared" ref="F37:F39" si="2">F6</f>
        <v>0.22672307813079018</v>
      </c>
      <c r="G37" s="503">
        <f t="shared" ref="G37:G39" si="3">G6*$D$26</f>
        <v>1.5923357177340916E-3</v>
      </c>
      <c r="H37" s="503">
        <f t="shared" ref="H37:H38" si="4">H6*$E$26</f>
        <v>1.4600493657992589E-3</v>
      </c>
    </row>
    <row r="38" spans="2:8">
      <c r="B38" s="200" t="s">
        <v>65</v>
      </c>
      <c r="C38" s="721" t="s">
        <v>61</v>
      </c>
      <c r="D38" s="504">
        <v>12.855716927463327</v>
      </c>
      <c r="E38" s="465">
        <f t="shared" si="1"/>
        <v>0.30137216552023594</v>
      </c>
      <c r="F38" s="465">
        <f t="shared" si="2"/>
        <v>0.29736867493965957</v>
      </c>
      <c r="G38" s="503">
        <f t="shared" si="3"/>
        <v>2.0884982964483375E-3</v>
      </c>
      <c r="H38" s="503">
        <f t="shared" si="4"/>
        <v>1.9149922841280136E-3</v>
      </c>
    </row>
    <row r="39" spans="2:8">
      <c r="B39" s="212" t="s">
        <v>346</v>
      </c>
      <c r="C39" s="721" t="s">
        <v>61</v>
      </c>
      <c r="D39" s="481">
        <v>9.8015963314361265</v>
      </c>
      <c r="E39" s="465">
        <f t="shared" si="1"/>
        <v>0.22977546321432354</v>
      </c>
      <c r="F39" s="465">
        <f t="shared" si="2"/>
        <v>0.22672307813079018</v>
      </c>
      <c r="G39" s="503">
        <f t="shared" si="3"/>
        <v>1.5923357177340916E-3</v>
      </c>
      <c r="H39" s="503">
        <f>H8*$E$26</f>
        <v>1.4600493657992589E-3</v>
      </c>
    </row>
    <row r="40" spans="2:8" ht="23.25" customHeight="1">
      <c r="B40" s="758" t="s">
        <v>504</v>
      </c>
      <c r="C40" s="758"/>
      <c r="D40" s="758"/>
      <c r="E40" s="758"/>
      <c r="F40" s="758"/>
      <c r="G40" s="758"/>
      <c r="H40" s="758"/>
    </row>
    <row r="41" spans="2:8" ht="22.5" customHeight="1">
      <c r="B41" s="759" t="s">
        <v>505</v>
      </c>
      <c r="C41" s="759"/>
      <c r="D41" s="759"/>
      <c r="E41" s="759"/>
      <c r="F41" s="759"/>
      <c r="G41" s="759"/>
      <c r="H41" s="759"/>
    </row>
  </sheetData>
  <mergeCells count="4">
    <mergeCell ref="B9:H9"/>
    <mergeCell ref="B10:H10"/>
    <mergeCell ref="B40:H40"/>
    <mergeCell ref="B41:H41"/>
  </mergeCells>
  <hyperlinks>
    <hyperlink ref="B28" r:id="rId1"/>
  </hyperlinks>
  <pageMargins left="0.19685039370078741" right="0.15748031496062992" top="0.98425196850393704" bottom="0.98425196850393704" header="0.51181102362204722" footer="0.51181102362204722"/>
  <pageSetup paperSize="8" scale="70" orientation="landscape" r:id="rId2"/>
  <headerFooter alignWithMargins="0"/>
  <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U54"/>
  <sheetViews>
    <sheetView topLeftCell="D13" zoomScale="90" zoomScaleNormal="90" workbookViewId="0">
      <selection activeCell="K19" sqref="K19:T19"/>
    </sheetView>
  </sheetViews>
  <sheetFormatPr defaultRowHeight="12.75"/>
  <cols>
    <col min="1" max="1" width="12.7109375" customWidth="1"/>
    <col min="2" max="2" width="22.5703125" customWidth="1"/>
    <col min="3" max="3" width="22.28515625" customWidth="1"/>
    <col min="4" max="4" width="27.85546875" customWidth="1"/>
    <col min="5" max="5" width="19.28515625" customWidth="1"/>
    <col min="6" max="6" width="14.85546875" customWidth="1"/>
    <col min="7" max="7" width="14.42578125" customWidth="1"/>
    <col min="8" max="8" width="14.7109375" customWidth="1"/>
    <col min="10" max="10" width="10.28515625" customWidth="1"/>
    <col min="11" max="11" width="12.28515625" customWidth="1"/>
    <col min="12" max="12" width="11.28515625" customWidth="1"/>
    <col min="13" max="13" width="12.28515625" customWidth="1"/>
    <col min="16" max="16" width="11.85546875" customWidth="1"/>
  </cols>
  <sheetData>
    <row r="1" spans="1:21">
      <c r="B1" s="435" t="s">
        <v>271</v>
      </c>
    </row>
    <row r="2" spans="1:21" ht="14.25">
      <c r="A2" s="57"/>
      <c r="B2" s="48" t="s">
        <v>119</v>
      </c>
      <c r="C2" s="48"/>
      <c r="D2" s="48"/>
      <c r="E2" s="48"/>
      <c r="K2" s="176" t="s">
        <v>223</v>
      </c>
      <c r="L2" s="66"/>
      <c r="U2" s="63"/>
    </row>
    <row r="3" spans="1:21" ht="13.5" thickBot="1">
      <c r="A3" s="49"/>
      <c r="K3" s="49"/>
      <c r="L3" s="66"/>
      <c r="U3" s="63"/>
    </row>
    <row r="4" spans="1:21" ht="34.5" thickBot="1">
      <c r="B4" s="50"/>
      <c r="C4" s="50"/>
      <c r="D4" s="50"/>
      <c r="E4" s="50"/>
      <c r="F4" s="765" t="s">
        <v>123</v>
      </c>
      <c r="G4" s="766"/>
      <c r="H4" s="766"/>
      <c r="K4" s="67" t="s">
        <v>169</v>
      </c>
      <c r="L4" s="68" t="s">
        <v>170</v>
      </c>
      <c r="M4" s="68" t="s">
        <v>171</v>
      </c>
      <c r="N4" s="68" t="s">
        <v>172</v>
      </c>
      <c r="O4" s="68" t="s">
        <v>173</v>
      </c>
      <c r="P4" s="68" t="s">
        <v>174</v>
      </c>
      <c r="Q4" s="68" t="s">
        <v>175</v>
      </c>
      <c r="R4" s="68" t="s">
        <v>176</v>
      </c>
      <c r="S4" s="68" t="s">
        <v>190</v>
      </c>
      <c r="T4" s="68" t="s">
        <v>177</v>
      </c>
      <c r="U4" s="60"/>
    </row>
    <row r="5" spans="1:21" ht="35.25" customHeight="1" thickBot="1">
      <c r="B5" s="51" t="s">
        <v>120</v>
      </c>
      <c r="C5" s="575" t="s">
        <v>121</v>
      </c>
      <c r="D5" s="576" t="s">
        <v>122</v>
      </c>
      <c r="E5" s="576" t="s">
        <v>164</v>
      </c>
      <c r="F5" s="51" t="s">
        <v>124</v>
      </c>
      <c r="G5" s="51" t="s">
        <v>125</v>
      </c>
      <c r="H5" s="51" t="s">
        <v>126</v>
      </c>
      <c r="K5" s="89" t="s">
        <v>191</v>
      </c>
      <c r="L5" s="70">
        <v>11700</v>
      </c>
      <c r="M5" s="70">
        <v>650</v>
      </c>
      <c r="N5" s="70">
        <v>2800</v>
      </c>
      <c r="O5" s="70">
        <v>1300</v>
      </c>
      <c r="P5" s="70">
        <v>3800</v>
      </c>
      <c r="Q5" s="70">
        <v>140</v>
      </c>
      <c r="R5" s="70">
        <v>7000</v>
      </c>
      <c r="S5" s="70">
        <v>0</v>
      </c>
      <c r="T5" s="71"/>
      <c r="U5" s="64"/>
    </row>
    <row r="6" spans="1:21" ht="40.5" thickBot="1">
      <c r="B6" s="56" t="s">
        <v>163</v>
      </c>
      <c r="C6" s="53">
        <v>7.0000000000000007E-2</v>
      </c>
      <c r="D6" s="54">
        <v>0.03</v>
      </c>
      <c r="E6" s="709" t="s">
        <v>127</v>
      </c>
      <c r="F6" s="52" t="s">
        <v>128</v>
      </c>
      <c r="G6" s="52" t="s">
        <v>129</v>
      </c>
      <c r="H6" s="52" t="s">
        <v>130</v>
      </c>
      <c r="K6" s="69" t="s">
        <v>178</v>
      </c>
      <c r="L6" s="72">
        <v>1</v>
      </c>
      <c r="M6" s="70"/>
      <c r="N6" s="70"/>
      <c r="O6" s="70"/>
      <c r="P6" s="70"/>
      <c r="Q6" s="70"/>
      <c r="R6" s="70"/>
      <c r="S6" s="70"/>
      <c r="T6" s="71">
        <v>11700</v>
      </c>
      <c r="U6" s="59"/>
    </row>
    <row r="7" spans="1:21" ht="26.25" thickBot="1">
      <c r="B7" s="52" t="s">
        <v>131</v>
      </c>
      <c r="C7" s="762">
        <v>0.11</v>
      </c>
      <c r="D7" s="763">
        <v>0.03</v>
      </c>
      <c r="E7" s="762" t="s">
        <v>133</v>
      </c>
      <c r="F7" s="764" t="s">
        <v>128</v>
      </c>
      <c r="G7" s="764" t="s">
        <v>129</v>
      </c>
      <c r="H7" s="764" t="s">
        <v>130</v>
      </c>
      <c r="K7" s="69" t="s">
        <v>194</v>
      </c>
      <c r="L7" s="72"/>
      <c r="M7" s="70"/>
      <c r="N7" s="70"/>
      <c r="O7" s="70"/>
      <c r="P7" s="70"/>
      <c r="Q7" s="70"/>
      <c r="R7" s="70"/>
      <c r="S7" s="72">
        <v>1</v>
      </c>
      <c r="T7" s="71">
        <v>1500</v>
      </c>
      <c r="U7" s="59"/>
    </row>
    <row r="8" spans="1:21" ht="13.5" thickBot="1">
      <c r="B8" s="52" t="s">
        <v>132</v>
      </c>
      <c r="C8" s="762"/>
      <c r="D8" s="763"/>
      <c r="E8" s="762"/>
      <c r="F8" s="764"/>
      <c r="G8" s="764"/>
      <c r="H8" s="764"/>
      <c r="K8" s="69" t="s">
        <v>179</v>
      </c>
      <c r="L8" s="70"/>
      <c r="M8" s="70"/>
      <c r="N8" s="70"/>
      <c r="O8" s="72">
        <v>1</v>
      </c>
      <c r="P8" s="70"/>
      <c r="Q8" s="70"/>
      <c r="R8" s="70"/>
      <c r="S8" s="70"/>
      <c r="T8" s="71">
        <v>1300</v>
      </c>
      <c r="U8" s="59"/>
    </row>
    <row r="9" spans="1:21" ht="34.5" thickBot="1">
      <c r="B9" s="52" t="s">
        <v>134</v>
      </c>
      <c r="C9" s="762">
        <v>0.15</v>
      </c>
      <c r="D9" s="763">
        <v>0.03</v>
      </c>
      <c r="E9" s="762" t="s">
        <v>133</v>
      </c>
      <c r="F9" s="764" t="s">
        <v>128</v>
      </c>
      <c r="G9" s="764" t="s">
        <v>129</v>
      </c>
      <c r="H9" s="764" t="s">
        <v>130</v>
      </c>
      <c r="K9" s="69" t="s">
        <v>180</v>
      </c>
      <c r="L9" s="70"/>
      <c r="M9" s="70"/>
      <c r="N9" s="70"/>
      <c r="O9" s="70"/>
      <c r="P9" s="70"/>
      <c r="Q9" s="70"/>
      <c r="R9" s="72">
        <v>0.39</v>
      </c>
      <c r="S9" s="72">
        <v>0.61</v>
      </c>
      <c r="T9" s="71">
        <v>2730</v>
      </c>
      <c r="U9" s="61"/>
    </row>
    <row r="10" spans="1:21" ht="45.75" thickBot="1">
      <c r="B10" s="52" t="s">
        <v>135</v>
      </c>
      <c r="C10" s="762"/>
      <c r="D10" s="763"/>
      <c r="E10" s="762"/>
      <c r="F10" s="764"/>
      <c r="G10" s="764"/>
      <c r="H10" s="764"/>
      <c r="K10" s="69" t="s">
        <v>181</v>
      </c>
      <c r="L10" s="70"/>
      <c r="M10" s="70"/>
      <c r="N10" s="72">
        <v>0.44</v>
      </c>
      <c r="O10" s="72">
        <v>0.04</v>
      </c>
      <c r="P10" s="72">
        <v>0.52</v>
      </c>
      <c r="Q10" s="70"/>
      <c r="R10" s="70"/>
      <c r="S10" s="70"/>
      <c r="T10" s="71">
        <v>3260</v>
      </c>
      <c r="U10" s="59"/>
    </row>
    <row r="11" spans="1:21" ht="39" thickBot="1">
      <c r="B11" s="52" t="s">
        <v>136</v>
      </c>
      <c r="C11" s="53">
        <v>0.25</v>
      </c>
      <c r="D11" s="54">
        <v>0.08</v>
      </c>
      <c r="E11" s="709" t="s">
        <v>133</v>
      </c>
      <c r="F11" s="52" t="s">
        <v>129</v>
      </c>
      <c r="G11" s="52" t="s">
        <v>130</v>
      </c>
      <c r="H11" s="52" t="s">
        <v>137</v>
      </c>
      <c r="K11" s="69" t="s">
        <v>182</v>
      </c>
      <c r="L11" s="70"/>
      <c r="M11" s="72">
        <v>0.23</v>
      </c>
      <c r="N11" s="72">
        <v>0.25</v>
      </c>
      <c r="O11" s="72">
        <v>0.52</v>
      </c>
      <c r="P11" s="70"/>
      <c r="Q11" s="70"/>
      <c r="R11" s="70"/>
      <c r="S11" s="70"/>
      <c r="T11" s="71">
        <v>1526</v>
      </c>
      <c r="U11" s="59"/>
    </row>
    <row r="12" spans="1:21" ht="39" thickBot="1">
      <c r="B12" s="52" t="s">
        <v>138</v>
      </c>
      <c r="C12" s="53">
        <v>0.45</v>
      </c>
      <c r="D12" s="54">
        <v>0.08</v>
      </c>
      <c r="E12" s="709" t="s">
        <v>133</v>
      </c>
      <c r="F12" s="52" t="s">
        <v>129</v>
      </c>
      <c r="G12" s="52" t="s">
        <v>130</v>
      </c>
      <c r="H12" s="52" t="s">
        <v>137</v>
      </c>
      <c r="K12" s="69" t="s">
        <v>183</v>
      </c>
      <c r="L12" s="70"/>
      <c r="M12" s="70"/>
      <c r="N12" s="72">
        <v>7.0000000000000007E-2</v>
      </c>
      <c r="O12" s="70"/>
      <c r="P12" s="72">
        <v>0.46</v>
      </c>
      <c r="Q12" s="70"/>
      <c r="R12" s="70"/>
      <c r="S12" s="72">
        <v>0.47</v>
      </c>
      <c r="T12" s="71">
        <v>1944</v>
      </c>
      <c r="U12" s="61"/>
    </row>
    <row r="13" spans="1:21" ht="39" thickBot="1">
      <c r="B13" s="52" t="s">
        <v>139</v>
      </c>
      <c r="C13" s="53">
        <v>0.65</v>
      </c>
      <c r="D13" s="54">
        <v>0.08</v>
      </c>
      <c r="E13" s="709" t="s">
        <v>133</v>
      </c>
      <c r="F13" s="52" t="s">
        <v>129</v>
      </c>
      <c r="G13" s="52" t="s">
        <v>130</v>
      </c>
      <c r="H13" s="52" t="s">
        <v>137</v>
      </c>
      <c r="K13" s="69" t="s">
        <v>184</v>
      </c>
      <c r="L13" s="70"/>
      <c r="M13" s="72">
        <v>0.5</v>
      </c>
      <c r="N13" s="72">
        <v>0.5</v>
      </c>
      <c r="O13" s="70"/>
      <c r="P13" s="70"/>
      <c r="Q13" s="70"/>
      <c r="R13" s="70"/>
      <c r="S13" s="70"/>
      <c r="T13" s="71">
        <v>1725</v>
      </c>
      <c r="U13" s="59"/>
    </row>
    <row r="14" spans="1:21" ht="45.75" thickBot="1">
      <c r="B14" s="52" t="s">
        <v>140</v>
      </c>
      <c r="C14" s="53">
        <v>0.2</v>
      </c>
      <c r="D14" s="54">
        <v>0.08</v>
      </c>
      <c r="E14" s="709" t="s">
        <v>133</v>
      </c>
      <c r="F14" s="52" t="s">
        <v>129</v>
      </c>
      <c r="G14" s="52" t="s">
        <v>130</v>
      </c>
      <c r="H14" s="52" t="s">
        <v>137</v>
      </c>
      <c r="K14" s="69" t="s">
        <v>185</v>
      </c>
      <c r="L14" s="70"/>
      <c r="M14" s="70"/>
      <c r="N14" s="70"/>
      <c r="O14" s="72">
        <v>0.88</v>
      </c>
      <c r="P14" s="70"/>
      <c r="Q14" s="70"/>
      <c r="R14" s="72">
        <v>0.09</v>
      </c>
      <c r="S14" s="72">
        <v>0.03</v>
      </c>
      <c r="T14" s="71">
        <v>1774</v>
      </c>
      <c r="U14" s="61"/>
    </row>
    <row r="15" spans="1:21" ht="45.75" thickBot="1">
      <c r="B15" s="52" t="s">
        <v>141</v>
      </c>
      <c r="C15" s="53">
        <v>0.3</v>
      </c>
      <c r="D15" s="54">
        <v>0.08</v>
      </c>
      <c r="E15" s="709" t="s">
        <v>133</v>
      </c>
      <c r="F15" s="52" t="s">
        <v>129</v>
      </c>
      <c r="G15" s="52" t="s">
        <v>130</v>
      </c>
      <c r="H15" s="52" t="s">
        <v>137</v>
      </c>
      <c r="K15" s="69" t="s">
        <v>186</v>
      </c>
      <c r="L15" s="70"/>
      <c r="M15" s="70"/>
      <c r="N15" s="70"/>
      <c r="O15" s="72">
        <v>0.59</v>
      </c>
      <c r="P15" s="70"/>
      <c r="Q15" s="70"/>
      <c r="R15" s="70"/>
      <c r="S15" s="72">
        <v>0.41</v>
      </c>
      <c r="T15" s="71">
        <v>767</v>
      </c>
      <c r="U15" s="59"/>
    </row>
    <row r="16" spans="1:21" ht="45.75" thickBot="1">
      <c r="B16" s="52" t="s">
        <v>142</v>
      </c>
      <c r="C16" s="53">
        <v>0.45</v>
      </c>
      <c r="D16" s="54">
        <v>0.08</v>
      </c>
      <c r="E16" s="709" t="s">
        <v>133</v>
      </c>
      <c r="F16" s="52" t="s">
        <v>129</v>
      </c>
      <c r="G16" s="52" t="s">
        <v>130</v>
      </c>
      <c r="H16" s="52" t="s">
        <v>137</v>
      </c>
      <c r="K16" s="69" t="s">
        <v>187</v>
      </c>
      <c r="L16" s="70"/>
      <c r="M16" s="70"/>
      <c r="N16" s="73">
        <v>0.46600000000000003</v>
      </c>
      <c r="O16" s="72">
        <v>0.5</v>
      </c>
      <c r="P16" s="70"/>
      <c r="Q16" s="70"/>
      <c r="R16" s="70"/>
      <c r="S16" s="73">
        <v>3.4000000000000002E-2</v>
      </c>
      <c r="T16" s="71">
        <v>1955</v>
      </c>
      <c r="U16" s="59"/>
    </row>
    <row r="17" spans="2:21" ht="45.75" thickBot="1">
      <c r="B17" s="52" t="s">
        <v>143</v>
      </c>
      <c r="C17" s="53">
        <v>0.04</v>
      </c>
      <c r="D17" s="54">
        <v>0.03</v>
      </c>
      <c r="E17" s="709" t="s">
        <v>133</v>
      </c>
      <c r="F17" s="52" t="s">
        <v>128</v>
      </c>
      <c r="G17" s="52" t="s">
        <v>129</v>
      </c>
      <c r="H17" s="52" t="s">
        <v>130</v>
      </c>
      <c r="K17" s="69" t="s">
        <v>188</v>
      </c>
      <c r="L17" s="70"/>
      <c r="M17" s="70"/>
      <c r="N17" s="73">
        <v>0.85099999999999998</v>
      </c>
      <c r="O17" s="73">
        <v>0.115</v>
      </c>
      <c r="P17" s="70"/>
      <c r="Q17" s="70"/>
      <c r="R17" s="70"/>
      <c r="S17" s="73">
        <v>3.4000000000000002E-2</v>
      </c>
      <c r="T17" s="71">
        <v>2532</v>
      </c>
      <c r="U17" s="59"/>
    </row>
    <row r="18" spans="2:21" ht="34.5" thickBot="1">
      <c r="B18" s="52" t="s">
        <v>144</v>
      </c>
      <c r="C18" s="53">
        <v>0.17</v>
      </c>
      <c r="D18" s="54">
        <v>0.03</v>
      </c>
      <c r="E18" s="709" t="s">
        <v>133</v>
      </c>
      <c r="F18" s="52" t="s">
        <v>128</v>
      </c>
      <c r="G18" s="52" t="s">
        <v>129</v>
      </c>
      <c r="H18" s="52" t="s">
        <v>130</v>
      </c>
      <c r="K18" s="69" t="s">
        <v>189</v>
      </c>
      <c r="L18" s="70"/>
      <c r="M18" s="70"/>
      <c r="N18" s="72">
        <v>0.5</v>
      </c>
      <c r="O18" s="70"/>
      <c r="P18" s="72">
        <v>0.5</v>
      </c>
      <c r="Q18" s="70"/>
      <c r="R18" s="70"/>
      <c r="S18" s="70"/>
      <c r="T18" s="71">
        <v>3300</v>
      </c>
      <c r="U18" s="59"/>
    </row>
    <row r="19" spans="2:21" ht="51">
      <c r="B19" s="52" t="s">
        <v>145</v>
      </c>
      <c r="C19" s="53" t="s">
        <v>146</v>
      </c>
      <c r="D19" s="54">
        <v>0.01</v>
      </c>
      <c r="E19" s="55">
        <v>5.0000000000000001E-3</v>
      </c>
      <c r="F19" s="52" t="s">
        <v>129</v>
      </c>
      <c r="G19" s="52" t="s">
        <v>130</v>
      </c>
      <c r="H19" s="52" t="s">
        <v>137</v>
      </c>
      <c r="K19" s="760" t="s">
        <v>507</v>
      </c>
      <c r="L19" s="761"/>
      <c r="M19" s="761"/>
      <c r="N19" s="761"/>
      <c r="O19" s="761"/>
      <c r="P19" s="761"/>
      <c r="Q19" s="761"/>
      <c r="R19" s="761"/>
      <c r="S19" s="761"/>
      <c r="T19" s="761"/>
    </row>
    <row r="20" spans="2:21" ht="38.25">
      <c r="B20" s="52" t="s">
        <v>147</v>
      </c>
      <c r="C20" s="762" t="s">
        <v>149</v>
      </c>
      <c r="D20" s="763">
        <v>0.03</v>
      </c>
      <c r="E20" s="767">
        <v>5.0000000000000001E-3</v>
      </c>
      <c r="F20" s="764" t="s">
        <v>129</v>
      </c>
      <c r="G20" s="764" t="s">
        <v>130</v>
      </c>
      <c r="H20" s="764" t="s">
        <v>137</v>
      </c>
    </row>
    <row r="21" spans="2:21">
      <c r="B21" s="52" t="s">
        <v>148</v>
      </c>
      <c r="C21" s="762"/>
      <c r="D21" s="763"/>
      <c r="E21" s="767"/>
      <c r="F21" s="764"/>
      <c r="G21" s="764"/>
      <c r="H21" s="764"/>
    </row>
    <row r="22" spans="2:21" ht="25.5">
      <c r="B22" s="52" t="s">
        <v>150</v>
      </c>
      <c r="C22" s="762" t="s">
        <v>152</v>
      </c>
      <c r="D22" s="764" t="s">
        <v>153</v>
      </c>
      <c r="E22" s="762" t="s">
        <v>153</v>
      </c>
      <c r="F22" s="764" t="s">
        <v>129</v>
      </c>
      <c r="G22" s="764" t="s">
        <v>154</v>
      </c>
      <c r="H22" s="764" t="s">
        <v>154</v>
      </c>
    </row>
    <row r="23" spans="2:21">
      <c r="B23" s="52" t="s">
        <v>151</v>
      </c>
      <c r="C23" s="762"/>
      <c r="D23" s="764"/>
      <c r="E23" s="762"/>
      <c r="F23" s="764"/>
      <c r="G23" s="764"/>
      <c r="H23" s="764"/>
    </row>
    <row r="24" spans="2:21">
      <c r="B24" s="52" t="s">
        <v>155</v>
      </c>
      <c r="C24" s="53">
        <v>0.7</v>
      </c>
      <c r="D24" s="54">
        <v>0.1</v>
      </c>
      <c r="E24" s="709" t="s">
        <v>133</v>
      </c>
      <c r="F24" s="52" t="s">
        <v>128</v>
      </c>
      <c r="G24" s="52" t="s">
        <v>129</v>
      </c>
      <c r="H24" s="52" t="s">
        <v>130</v>
      </c>
    </row>
    <row r="25" spans="2:21" ht="25.5">
      <c r="B25" s="52" t="s">
        <v>156</v>
      </c>
      <c r="C25" s="53">
        <v>1.2</v>
      </c>
      <c r="D25" s="54">
        <v>0.1</v>
      </c>
      <c r="E25" s="709" t="s">
        <v>133</v>
      </c>
      <c r="F25" s="52" t="s">
        <v>129</v>
      </c>
      <c r="G25" s="52" t="s">
        <v>130</v>
      </c>
      <c r="H25" s="52" t="s">
        <v>137</v>
      </c>
      <c r="K25" s="176" t="s">
        <v>223</v>
      </c>
    </row>
    <row r="26" spans="2:21" ht="26.25" thickBot="1">
      <c r="B26" s="52" t="s">
        <v>157</v>
      </c>
      <c r="C26" s="53" t="s">
        <v>158</v>
      </c>
      <c r="D26" s="54">
        <v>0.1</v>
      </c>
      <c r="E26" s="709" t="s">
        <v>133</v>
      </c>
      <c r="F26" s="52" t="s">
        <v>129</v>
      </c>
      <c r="G26" s="52" t="s">
        <v>130</v>
      </c>
      <c r="H26" s="52" t="s">
        <v>137</v>
      </c>
      <c r="K26" s="397" t="s">
        <v>483</v>
      </c>
    </row>
    <row r="27" spans="2:21" ht="34.5" thickBot="1">
      <c r="B27" s="52" t="s">
        <v>159</v>
      </c>
      <c r="C27" s="53">
        <v>10</v>
      </c>
      <c r="D27" s="54">
        <v>0.25</v>
      </c>
      <c r="E27" s="55">
        <v>5.0000000000000001E-3</v>
      </c>
      <c r="F27" s="52" t="s">
        <v>129</v>
      </c>
      <c r="G27" s="52" t="s">
        <v>130</v>
      </c>
      <c r="H27" s="52" t="s">
        <v>154</v>
      </c>
      <c r="K27" s="67" t="s">
        <v>169</v>
      </c>
      <c r="L27" s="68" t="s">
        <v>170</v>
      </c>
      <c r="M27" s="68" t="s">
        <v>171</v>
      </c>
      <c r="N27" s="68" t="s">
        <v>172</v>
      </c>
      <c r="O27" s="68" t="s">
        <v>173</v>
      </c>
      <c r="P27" s="68" t="s">
        <v>174</v>
      </c>
      <c r="Q27" s="68" t="s">
        <v>175</v>
      </c>
      <c r="R27" s="68" t="s">
        <v>176</v>
      </c>
      <c r="S27" s="68" t="s">
        <v>190</v>
      </c>
      <c r="T27" s="68" t="s">
        <v>177</v>
      </c>
    </row>
    <row r="28" spans="2:21" ht="26.25" thickBot="1">
      <c r="B28" s="52" t="s">
        <v>160</v>
      </c>
      <c r="C28" s="53">
        <v>6</v>
      </c>
      <c r="D28" s="54">
        <v>0.25</v>
      </c>
      <c r="E28" s="55">
        <v>5.0000000000000001E-3</v>
      </c>
      <c r="F28" s="52" t="s">
        <v>129</v>
      </c>
      <c r="G28" s="52" t="s">
        <v>130</v>
      </c>
      <c r="H28" s="52" t="s">
        <v>154</v>
      </c>
      <c r="K28" s="89" t="s">
        <v>482</v>
      </c>
      <c r="L28" s="70">
        <v>14800</v>
      </c>
      <c r="M28" s="70">
        <v>675</v>
      </c>
      <c r="N28" s="70">
        <v>3500</v>
      </c>
      <c r="O28" s="70">
        <v>1430</v>
      </c>
      <c r="P28" s="70">
        <v>4470</v>
      </c>
      <c r="Q28" s="70">
        <v>124</v>
      </c>
      <c r="R28" s="70">
        <v>8830</v>
      </c>
      <c r="S28" s="70">
        <v>0</v>
      </c>
      <c r="T28" s="71"/>
    </row>
    <row r="29" spans="2:21" ht="39" thickBot="1">
      <c r="B29" s="52" t="s">
        <v>161</v>
      </c>
      <c r="C29" s="53">
        <v>2.5</v>
      </c>
      <c r="D29" s="54">
        <v>0.25</v>
      </c>
      <c r="E29" s="55">
        <v>5.0000000000000001E-3</v>
      </c>
      <c r="F29" s="52" t="s">
        <v>129</v>
      </c>
      <c r="G29" s="52" t="s">
        <v>130</v>
      </c>
      <c r="H29" s="52" t="s">
        <v>154</v>
      </c>
      <c r="K29" s="69" t="s">
        <v>178</v>
      </c>
      <c r="L29" s="72">
        <v>1</v>
      </c>
      <c r="M29" s="70"/>
      <c r="N29" s="70"/>
      <c r="O29" s="70"/>
      <c r="P29" s="70"/>
      <c r="Q29" s="70"/>
      <c r="R29" s="70"/>
      <c r="S29" s="70"/>
      <c r="T29" s="71">
        <v>14800</v>
      </c>
    </row>
    <row r="30" spans="2:21" ht="26.25" thickBot="1">
      <c r="B30" s="52" t="s">
        <v>162</v>
      </c>
      <c r="C30" s="53">
        <v>5.5</v>
      </c>
      <c r="D30" s="54">
        <v>0.25</v>
      </c>
      <c r="E30" s="55">
        <v>5.0000000000000001E-3</v>
      </c>
      <c r="F30" s="52" t="s">
        <v>129</v>
      </c>
      <c r="G30" s="52" t="s">
        <v>130</v>
      </c>
      <c r="H30" s="52" t="s">
        <v>154</v>
      </c>
      <c r="K30" s="69" t="s">
        <v>194</v>
      </c>
      <c r="L30" s="72"/>
      <c r="M30" s="70"/>
      <c r="N30" s="70"/>
      <c r="O30" s="70"/>
      <c r="P30" s="70"/>
      <c r="Q30" s="70"/>
      <c r="R30" s="70"/>
      <c r="S30" s="72">
        <v>1</v>
      </c>
      <c r="T30" s="71">
        <v>1810</v>
      </c>
    </row>
    <row r="31" spans="2:21" ht="26.25" thickBot="1">
      <c r="B31" s="52" t="s">
        <v>166</v>
      </c>
      <c r="C31" s="53">
        <v>3</v>
      </c>
      <c r="D31" s="54">
        <v>0.25</v>
      </c>
      <c r="E31" s="55">
        <v>5.0000000000000001E-3</v>
      </c>
      <c r="F31" s="52" t="s">
        <v>129</v>
      </c>
      <c r="G31" s="52" t="s">
        <v>130</v>
      </c>
      <c r="H31" s="52" t="s">
        <v>154</v>
      </c>
      <c r="K31" s="69" t="s">
        <v>179</v>
      </c>
      <c r="L31" s="70"/>
      <c r="M31" s="70"/>
      <c r="N31" s="70"/>
      <c r="O31" s="72">
        <v>1</v>
      </c>
      <c r="P31" s="70"/>
      <c r="Q31" s="70"/>
      <c r="R31" s="70"/>
      <c r="S31" s="70"/>
      <c r="T31" s="71">
        <v>1430</v>
      </c>
    </row>
    <row r="32" spans="2:21" ht="39" thickBot="1">
      <c r="B32" s="52" t="s">
        <v>167</v>
      </c>
      <c r="C32" s="709" t="s">
        <v>153</v>
      </c>
      <c r="D32" s="52" t="s">
        <v>153</v>
      </c>
      <c r="E32" s="709" t="s">
        <v>153</v>
      </c>
      <c r="F32" s="52" t="s">
        <v>129</v>
      </c>
      <c r="G32" s="52" t="s">
        <v>154</v>
      </c>
      <c r="H32" s="52" t="s">
        <v>154</v>
      </c>
      <c r="K32" s="69" t="s">
        <v>180</v>
      </c>
      <c r="L32" s="70"/>
      <c r="M32" s="70"/>
      <c r="N32" s="70"/>
      <c r="O32" s="70"/>
      <c r="P32" s="70"/>
      <c r="Q32" s="70"/>
      <c r="R32" s="72">
        <v>0.39</v>
      </c>
      <c r="S32" s="72">
        <v>0.61</v>
      </c>
      <c r="T32" s="71">
        <v>3444</v>
      </c>
    </row>
    <row r="33" spans="2:20" ht="45.75" thickBot="1">
      <c r="B33" s="52" t="s">
        <v>168</v>
      </c>
      <c r="C33" s="709" t="s">
        <v>153</v>
      </c>
      <c r="D33" s="52" t="s">
        <v>153</v>
      </c>
      <c r="E33" s="709" t="s">
        <v>153</v>
      </c>
      <c r="F33" s="52" t="s">
        <v>129</v>
      </c>
      <c r="G33" s="52" t="s">
        <v>154</v>
      </c>
      <c r="H33" s="52" t="s">
        <v>154</v>
      </c>
      <c r="K33" s="69" t="s">
        <v>181</v>
      </c>
      <c r="L33" s="70"/>
      <c r="M33" s="70"/>
      <c r="N33" s="72">
        <v>0.44</v>
      </c>
      <c r="O33" s="72">
        <v>0.04</v>
      </c>
      <c r="P33" s="72">
        <v>0.52</v>
      </c>
      <c r="Q33" s="70"/>
      <c r="R33" s="70"/>
      <c r="S33" s="70"/>
      <c r="T33" s="71">
        <v>3922</v>
      </c>
    </row>
    <row r="34" spans="2:20" ht="38.25" customHeight="1" thickBot="1">
      <c r="B34" s="774" t="s">
        <v>380</v>
      </c>
      <c r="C34" s="775"/>
      <c r="D34" s="775"/>
      <c r="E34" s="775"/>
      <c r="F34" s="775"/>
      <c r="G34" s="775"/>
      <c r="H34" s="776"/>
      <c r="K34" s="69" t="s">
        <v>182</v>
      </c>
      <c r="L34" s="70"/>
      <c r="M34" s="72">
        <v>0.23</v>
      </c>
      <c r="N34" s="72">
        <v>0.25</v>
      </c>
      <c r="O34" s="72">
        <v>0.52</v>
      </c>
      <c r="P34" s="70"/>
      <c r="Q34" s="70"/>
      <c r="R34" s="70"/>
      <c r="S34" s="70"/>
      <c r="T34" s="71">
        <v>1774</v>
      </c>
    </row>
    <row r="35" spans="2:20" ht="36.75" customHeight="1" thickBot="1">
      <c r="B35" s="771" t="s">
        <v>165</v>
      </c>
      <c r="C35" s="772"/>
      <c r="D35" s="772"/>
      <c r="E35" s="772"/>
      <c r="F35" s="772"/>
      <c r="G35" s="772"/>
      <c r="H35" s="773"/>
      <c r="K35" s="69" t="s">
        <v>183</v>
      </c>
      <c r="L35" s="70"/>
      <c r="M35" s="70"/>
      <c r="N35" s="72">
        <v>7.0000000000000007E-2</v>
      </c>
      <c r="O35" s="70"/>
      <c r="P35" s="72">
        <v>0.46</v>
      </c>
      <c r="Q35" s="70"/>
      <c r="R35" s="70"/>
      <c r="S35" s="72">
        <v>0.47</v>
      </c>
      <c r="T35" s="71">
        <v>2301</v>
      </c>
    </row>
    <row r="36" spans="2:20" ht="23.25" thickBot="1">
      <c r="K36" s="69" t="s">
        <v>184</v>
      </c>
      <c r="L36" s="70"/>
      <c r="M36" s="72">
        <v>0.5</v>
      </c>
      <c r="N36" s="72">
        <v>0.5</v>
      </c>
      <c r="O36" s="70"/>
      <c r="P36" s="70"/>
      <c r="Q36" s="70"/>
      <c r="R36" s="70"/>
      <c r="S36" s="70"/>
      <c r="T36" s="71">
        <v>2088</v>
      </c>
    </row>
    <row r="37" spans="2:20" ht="45.75" thickBot="1">
      <c r="K37" s="69" t="s">
        <v>185</v>
      </c>
      <c r="L37" s="70"/>
      <c r="M37" s="70"/>
      <c r="N37" s="70"/>
      <c r="O37" s="72">
        <v>0.88</v>
      </c>
      <c r="P37" s="70"/>
      <c r="Q37" s="70"/>
      <c r="R37" s="72">
        <v>0.09</v>
      </c>
      <c r="S37" s="72">
        <v>0.03</v>
      </c>
      <c r="T37" s="71">
        <v>2053</v>
      </c>
    </row>
    <row r="38" spans="2:20" ht="45.75" thickBot="1">
      <c r="J38" s="63"/>
      <c r="K38" s="69" t="s">
        <v>186</v>
      </c>
      <c r="L38" s="70"/>
      <c r="M38" s="70"/>
      <c r="N38" s="70"/>
      <c r="O38" s="72">
        <v>0.59</v>
      </c>
      <c r="P38" s="70"/>
      <c r="Q38" s="70"/>
      <c r="R38" s="70"/>
      <c r="S38" s="72">
        <v>0.41</v>
      </c>
      <c r="T38" s="71">
        <v>844</v>
      </c>
    </row>
    <row r="39" spans="2:20" ht="45.75" thickBot="1">
      <c r="J39" s="63"/>
      <c r="K39" s="69" t="s">
        <v>187</v>
      </c>
      <c r="L39" s="70"/>
      <c r="M39" s="70"/>
      <c r="N39" s="73">
        <v>0.46600000000000003</v>
      </c>
      <c r="O39" s="72">
        <v>0.5</v>
      </c>
      <c r="P39" s="70"/>
      <c r="Q39" s="70"/>
      <c r="R39" s="70"/>
      <c r="S39" s="73">
        <v>3.4000000000000002E-2</v>
      </c>
      <c r="T39" s="71">
        <v>2346</v>
      </c>
    </row>
    <row r="40" spans="2:20" ht="45.75" thickBot="1">
      <c r="J40" s="61"/>
      <c r="K40" s="69" t="s">
        <v>188</v>
      </c>
      <c r="L40" s="70"/>
      <c r="M40" s="70"/>
      <c r="N40" s="73">
        <v>0.85099999999999998</v>
      </c>
      <c r="O40" s="73">
        <v>0.115</v>
      </c>
      <c r="P40" s="70"/>
      <c r="Q40" s="70"/>
      <c r="R40" s="70"/>
      <c r="S40" s="73">
        <v>3.4000000000000002E-2</v>
      </c>
      <c r="T40" s="71">
        <v>3143</v>
      </c>
    </row>
    <row r="41" spans="2:20" ht="34.5" thickBot="1">
      <c r="J41" s="59"/>
      <c r="K41" s="69" t="s">
        <v>189</v>
      </c>
      <c r="L41" s="70"/>
      <c r="M41" s="70"/>
      <c r="N41" s="72">
        <v>0.5</v>
      </c>
      <c r="O41" s="70"/>
      <c r="P41" s="72">
        <v>0.5</v>
      </c>
      <c r="Q41" s="70"/>
      <c r="R41" s="70"/>
      <c r="S41" s="70"/>
      <c r="T41" s="71">
        <v>3985</v>
      </c>
    </row>
    <row r="42" spans="2:20">
      <c r="J42" s="61"/>
      <c r="K42" s="770" t="s">
        <v>459</v>
      </c>
      <c r="L42" s="770"/>
      <c r="M42" s="770"/>
      <c r="N42" s="770"/>
      <c r="O42" s="770"/>
      <c r="P42" s="770"/>
      <c r="Q42" s="770"/>
      <c r="R42" s="770"/>
      <c r="S42" s="770"/>
      <c r="T42" s="770"/>
    </row>
    <row r="43" spans="2:20" ht="36" customHeight="1">
      <c r="J43" s="65"/>
      <c r="K43" s="768" t="s">
        <v>490</v>
      </c>
      <c r="L43" s="769"/>
      <c r="M43" s="769"/>
      <c r="N43" s="769"/>
      <c r="O43" s="769"/>
      <c r="P43" s="769"/>
      <c r="Q43" s="769"/>
      <c r="R43" s="769"/>
      <c r="S43" s="769"/>
      <c r="T43" s="769"/>
    </row>
    <row r="44" spans="2:20">
      <c r="J44" s="65"/>
      <c r="K44" s="59"/>
      <c r="L44" s="59"/>
      <c r="M44" s="65"/>
      <c r="N44" s="62"/>
    </row>
    <row r="45" spans="2:20">
      <c r="L45" s="59"/>
      <c r="M45" s="65"/>
      <c r="N45" s="59"/>
      <c r="O45" s="65"/>
      <c r="P45" s="58"/>
    </row>
    <row r="46" spans="2:20">
      <c r="L46" s="59"/>
      <c r="M46" s="59"/>
      <c r="N46" s="59"/>
      <c r="O46" s="59"/>
      <c r="P46" s="58"/>
    </row>
    <row r="47" spans="2:20">
      <c r="P47" s="58"/>
    </row>
    <row r="48" spans="2:20">
      <c r="P48" s="58"/>
    </row>
    <row r="49" spans="16:16">
      <c r="P49" s="58"/>
    </row>
    <row r="50" spans="16:16">
      <c r="P50" s="58"/>
    </row>
    <row r="51" spans="16:16">
      <c r="P51" s="58"/>
    </row>
    <row r="52" spans="16:16">
      <c r="P52" s="58"/>
    </row>
    <row r="53" spans="16:16">
      <c r="P53" s="58"/>
    </row>
    <row r="54" spans="16:16">
      <c r="P54" s="58"/>
    </row>
  </sheetData>
  <mergeCells count="30">
    <mergeCell ref="K43:T43"/>
    <mergeCell ref="K42:T42"/>
    <mergeCell ref="C20:C21"/>
    <mergeCell ref="B35:H35"/>
    <mergeCell ref="B34:H34"/>
    <mergeCell ref="C22:C23"/>
    <mergeCell ref="D22:D23"/>
    <mergeCell ref="E22:E23"/>
    <mergeCell ref="F22:F23"/>
    <mergeCell ref="G22:G23"/>
    <mergeCell ref="H22:H23"/>
    <mergeCell ref="F4:H4"/>
    <mergeCell ref="G9:G10"/>
    <mergeCell ref="H9:H10"/>
    <mergeCell ref="D20:D21"/>
    <mergeCell ref="E20:E21"/>
    <mergeCell ref="F20:F21"/>
    <mergeCell ref="G20:G21"/>
    <mergeCell ref="H20:H21"/>
    <mergeCell ref="K19:T19"/>
    <mergeCell ref="C7:C8"/>
    <mergeCell ref="D7:D8"/>
    <mergeCell ref="E7:E8"/>
    <mergeCell ref="F7:F8"/>
    <mergeCell ref="G7:G8"/>
    <mergeCell ref="C9:C10"/>
    <mergeCell ref="D9:D10"/>
    <mergeCell ref="E9:E10"/>
    <mergeCell ref="F9:F10"/>
    <mergeCell ref="H7:H8"/>
  </mergeCells>
  <pageMargins left="0.70866141732283472" right="0.70866141732283472" top="0.74803149606299213" bottom="0.74803149606299213" header="0.31496062992125984" footer="0.31496062992125984"/>
  <pageSetup paperSize="8" scale="53"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pageSetUpPr fitToPage="1"/>
  </sheetPr>
  <dimension ref="A1:U99"/>
  <sheetViews>
    <sheetView topLeftCell="A56" zoomScale="90" zoomScaleNormal="90" workbookViewId="0">
      <selection activeCell="K99" sqref="K99"/>
    </sheetView>
  </sheetViews>
  <sheetFormatPr defaultColWidth="9.140625" defaultRowHeight="12.75"/>
  <cols>
    <col min="1" max="1" width="9.140625" style="129"/>
    <col min="2" max="2" width="28.42578125" style="129" customWidth="1"/>
    <col min="3" max="3" width="19.42578125" style="129" customWidth="1"/>
    <col min="4" max="4" width="23.5703125" style="129" customWidth="1"/>
    <col min="5" max="5" width="21.42578125" style="129" customWidth="1"/>
    <col min="6" max="6" width="14.5703125" style="129" customWidth="1"/>
    <col min="7" max="7" width="11.140625" style="129" customWidth="1"/>
    <col min="8" max="8" width="13.5703125" style="129" customWidth="1"/>
    <col min="9" max="9" width="15.7109375" style="129" customWidth="1"/>
    <col min="10" max="10" width="17" style="129" customWidth="1"/>
    <col min="11" max="11" width="21.140625" style="129" customWidth="1"/>
    <col min="12" max="13" width="9.140625" style="129"/>
    <col min="14" max="14" width="17.42578125" style="129" bestFit="1" customWidth="1"/>
    <col min="15" max="16384" width="9.140625" style="129"/>
  </cols>
  <sheetData>
    <row r="1" spans="1:21">
      <c r="B1" s="91" t="s">
        <v>270</v>
      </c>
      <c r="C1" s="90"/>
      <c r="D1" s="147"/>
      <c r="H1" s="110"/>
      <c r="I1" s="262"/>
    </row>
    <row r="2" spans="1:21">
      <c r="A2" s="91"/>
      <c r="B2" s="90"/>
      <c r="C2" s="90"/>
      <c r="D2" s="147"/>
      <c r="H2" s="110"/>
      <c r="I2" s="263"/>
    </row>
    <row r="3" spans="1:21">
      <c r="B3" s="177" t="s">
        <v>471</v>
      </c>
      <c r="H3" s="110"/>
      <c r="I3" s="262"/>
    </row>
    <row r="4" spans="1:21" ht="44.25" customHeight="1">
      <c r="B4" s="130" t="s">
        <v>244</v>
      </c>
      <c r="C4" s="130" t="s">
        <v>0</v>
      </c>
      <c r="D4" s="130" t="s">
        <v>2</v>
      </c>
      <c r="E4" s="131" t="s">
        <v>3</v>
      </c>
      <c r="H4" s="111"/>
      <c r="I4" s="262"/>
    </row>
    <row r="5" spans="1:21">
      <c r="B5" s="725">
        <v>2012</v>
      </c>
      <c r="C5" s="179" t="s">
        <v>27</v>
      </c>
      <c r="D5" s="594" t="s">
        <v>9</v>
      </c>
      <c r="E5" s="493">
        <f>C16</f>
        <v>0.16468669963106219</v>
      </c>
      <c r="H5" s="110"/>
      <c r="I5" s="264"/>
    </row>
    <row r="6" spans="1:21">
      <c r="B6" s="139"/>
      <c r="C6" s="180"/>
      <c r="D6" s="143"/>
      <c r="E6" s="178"/>
    </row>
    <row r="7" spans="1:21" ht="13.5" thickBot="1">
      <c r="A7" s="132" t="s">
        <v>243</v>
      </c>
    </row>
    <row r="8" spans="1:21">
      <c r="B8" s="133" t="s">
        <v>28</v>
      </c>
      <c r="C8" s="134" t="s">
        <v>470</v>
      </c>
      <c r="D8" s="135"/>
      <c r="E8" s="135"/>
      <c r="F8" s="135"/>
      <c r="G8" s="135"/>
      <c r="H8" s="135"/>
      <c r="I8" s="135"/>
      <c r="J8" s="135"/>
      <c r="K8" s="136"/>
      <c r="L8" s="139"/>
      <c r="M8" s="139"/>
      <c r="N8" s="139"/>
      <c r="O8" s="139"/>
      <c r="P8" s="139"/>
    </row>
    <row r="9" spans="1:21" ht="15.75">
      <c r="B9" s="137" t="s">
        <v>29</v>
      </c>
      <c r="C9" s="138" t="s">
        <v>339</v>
      </c>
      <c r="D9" s="139"/>
      <c r="E9" s="139"/>
      <c r="F9" s="139"/>
      <c r="G9" s="139"/>
      <c r="H9" s="139"/>
      <c r="I9" s="139"/>
      <c r="J9" s="139"/>
      <c r="K9" s="140"/>
      <c r="L9" s="139"/>
      <c r="M9" s="139"/>
      <c r="N9" s="139"/>
      <c r="O9" s="139"/>
      <c r="P9" s="139"/>
    </row>
    <row r="10" spans="1:21">
      <c r="B10" s="137"/>
      <c r="C10" s="138" t="s">
        <v>491</v>
      </c>
      <c r="D10" s="139"/>
      <c r="E10" s="139"/>
      <c r="F10" s="139"/>
      <c r="G10" s="139"/>
      <c r="H10" s="139"/>
      <c r="I10" s="139"/>
      <c r="J10" s="139"/>
      <c r="K10" s="140"/>
      <c r="L10" s="139"/>
      <c r="M10" s="139"/>
      <c r="N10" s="139"/>
      <c r="O10" s="139"/>
      <c r="P10" s="139"/>
    </row>
    <row r="11" spans="1:21">
      <c r="B11" s="141"/>
      <c r="C11" s="139"/>
      <c r="D11" s="139"/>
      <c r="E11" s="142" t="s">
        <v>43</v>
      </c>
      <c r="F11" s="139"/>
      <c r="G11" s="139"/>
      <c r="H11" s="139"/>
      <c r="I11" s="139"/>
      <c r="J11" s="139"/>
      <c r="K11" s="140"/>
      <c r="L11" s="139"/>
      <c r="M11" s="139"/>
      <c r="N11" s="139"/>
      <c r="O11" s="139"/>
      <c r="P11" s="139"/>
    </row>
    <row r="12" spans="1:21" ht="42" customHeight="1">
      <c r="B12" s="578" t="s">
        <v>259</v>
      </c>
      <c r="C12" s="579">
        <v>6302.9729123310599</v>
      </c>
      <c r="D12" s="152" t="s">
        <v>33</v>
      </c>
      <c r="E12" s="15" t="s">
        <v>398</v>
      </c>
      <c r="G12" s="152"/>
      <c r="H12" s="153"/>
      <c r="I12" s="153"/>
      <c r="J12" s="153"/>
      <c r="K12" s="154"/>
      <c r="L12" s="153"/>
      <c r="M12" s="153"/>
      <c r="N12" s="153"/>
      <c r="O12" s="153"/>
      <c r="P12" s="153"/>
      <c r="Q12" s="147"/>
      <c r="R12" s="147"/>
      <c r="S12" s="147"/>
      <c r="T12" s="147"/>
      <c r="U12" s="147"/>
    </row>
    <row r="13" spans="1:21">
      <c r="B13" s="580" t="s">
        <v>30</v>
      </c>
      <c r="C13" s="581">
        <v>753.07136588176604</v>
      </c>
      <c r="D13" s="152" t="s">
        <v>33</v>
      </c>
      <c r="E13" s="15" t="s">
        <v>398</v>
      </c>
      <c r="G13" s="152"/>
      <c r="H13" s="153"/>
      <c r="I13" s="153"/>
      <c r="J13" s="153"/>
      <c r="K13" s="154"/>
      <c r="L13" s="153"/>
      <c r="M13" s="153"/>
      <c r="N13" s="153"/>
      <c r="O13" s="153"/>
      <c r="P13" s="153"/>
      <c r="Q13" s="147"/>
      <c r="R13" s="147"/>
      <c r="S13" s="147"/>
      <c r="T13" s="147"/>
      <c r="U13" s="147"/>
    </row>
    <row r="14" spans="1:21">
      <c r="B14" s="580" t="s">
        <v>31</v>
      </c>
      <c r="C14" s="582">
        <v>42845.258870449536</v>
      </c>
      <c r="D14" s="152" t="s">
        <v>34</v>
      </c>
      <c r="E14" s="355" t="s">
        <v>417</v>
      </c>
      <c r="G14" s="409"/>
      <c r="H14" s="409"/>
      <c r="I14" s="409"/>
      <c r="J14" s="409"/>
      <c r="K14" s="577"/>
      <c r="L14" s="409"/>
      <c r="M14" s="139"/>
      <c r="N14" s="139"/>
      <c r="O14" s="139"/>
      <c r="P14" s="139"/>
    </row>
    <row r="15" spans="1:21">
      <c r="B15" s="583" t="s">
        <v>407</v>
      </c>
      <c r="C15" s="582">
        <v>39204.581551219766</v>
      </c>
      <c r="D15" s="152" t="s">
        <v>34</v>
      </c>
      <c r="E15" s="355" t="s">
        <v>417</v>
      </c>
      <c r="G15" s="409"/>
      <c r="H15" s="409"/>
      <c r="I15" s="409"/>
      <c r="J15" s="409"/>
      <c r="K15" s="577"/>
      <c r="L15" s="409"/>
      <c r="M15" s="139"/>
      <c r="N15" s="139"/>
      <c r="O15" s="139"/>
      <c r="P15" s="139"/>
    </row>
    <row r="16" spans="1:21">
      <c r="B16" s="584" t="s">
        <v>410</v>
      </c>
      <c r="C16" s="585">
        <f>(C12+C13)/C14</f>
        <v>0.16468669963106219</v>
      </c>
      <c r="D16" s="586" t="s">
        <v>36</v>
      </c>
      <c r="E16" s="144" t="s">
        <v>245</v>
      </c>
      <c r="F16" s="143"/>
      <c r="G16" s="143"/>
      <c r="H16" s="139"/>
      <c r="I16" s="139"/>
      <c r="J16" s="139"/>
      <c r="K16" s="140"/>
      <c r="L16" s="139"/>
      <c r="M16" s="139"/>
      <c r="N16" s="139"/>
      <c r="O16" s="139"/>
      <c r="P16" s="139"/>
    </row>
    <row r="17" spans="2:16" ht="15.75" thickBot="1">
      <c r="B17" s="587" t="s">
        <v>411</v>
      </c>
      <c r="C17" s="588">
        <f>(C12+C13)/C15</f>
        <v>0.17998009413757643</v>
      </c>
      <c r="D17" s="588" t="s">
        <v>36</v>
      </c>
      <c r="E17" s="316"/>
      <c r="F17" s="145"/>
      <c r="G17" s="145"/>
      <c r="H17" s="145"/>
      <c r="I17" s="145"/>
      <c r="J17" s="145"/>
      <c r="K17" s="146"/>
      <c r="L17" s="139"/>
      <c r="M17" s="139"/>
      <c r="N17" s="139"/>
      <c r="O17" s="139"/>
      <c r="P17" s="139"/>
    </row>
    <row r="21" spans="2:16">
      <c r="D21" s="151"/>
      <c r="E21" s="147"/>
      <c r="F21" s="147"/>
      <c r="G21" s="147"/>
      <c r="H21" s="147"/>
      <c r="I21" s="147"/>
      <c r="J21" s="147"/>
      <c r="K21" s="147"/>
      <c r="L21" s="147"/>
    </row>
    <row r="22" spans="2:16">
      <c r="B22" s="148"/>
      <c r="D22" s="147"/>
      <c r="E22" s="147"/>
      <c r="F22" s="147"/>
      <c r="G22" s="147"/>
      <c r="H22" s="147"/>
      <c r="I22" s="147"/>
      <c r="J22" s="147"/>
      <c r="K22" s="147"/>
      <c r="L22" s="147"/>
    </row>
    <row r="23" spans="2:16">
      <c r="B23" s="148"/>
      <c r="D23" s="147"/>
      <c r="E23" s="147"/>
      <c r="F23" s="147"/>
      <c r="G23" s="147"/>
      <c r="H23" s="147"/>
      <c r="I23" s="147"/>
      <c r="J23" s="147"/>
      <c r="K23" s="147"/>
      <c r="L23" s="147"/>
    </row>
    <row r="24" spans="2:16" ht="13.5" thickBot="1">
      <c r="B24" s="156" t="s">
        <v>261</v>
      </c>
      <c r="D24" s="151"/>
      <c r="E24" s="147"/>
      <c r="F24" s="147"/>
      <c r="G24" s="147"/>
      <c r="M24" s="148"/>
    </row>
    <row r="25" spans="2:16" ht="39.75">
      <c r="B25" s="181" t="s">
        <v>246</v>
      </c>
      <c r="C25" s="589" t="s">
        <v>258</v>
      </c>
      <c r="D25" s="590" t="s">
        <v>262</v>
      </c>
      <c r="E25" s="590" t="s">
        <v>263</v>
      </c>
      <c r="F25" s="590" t="s">
        <v>264</v>
      </c>
      <c r="G25" s="590" t="s">
        <v>340</v>
      </c>
      <c r="H25" s="591" t="s">
        <v>265</v>
      </c>
      <c r="I25" s="591" t="s">
        <v>266</v>
      </c>
      <c r="J25" s="591" t="s">
        <v>267</v>
      </c>
      <c r="K25" s="589" t="s">
        <v>477</v>
      </c>
    </row>
    <row r="26" spans="2:16" ht="14.25">
      <c r="B26" s="149">
        <v>1990</v>
      </c>
      <c r="C26" s="306">
        <v>0.11896440323632404</v>
      </c>
      <c r="D26" s="307">
        <v>2989.4508473433643</v>
      </c>
      <c r="E26" s="308">
        <v>10.479638828150442</v>
      </c>
      <c r="F26" s="309">
        <v>467.78752175804777</v>
      </c>
      <c r="G26" s="308">
        <v>0.21190107772799999</v>
      </c>
      <c r="H26" s="310">
        <v>3467.9299090072905</v>
      </c>
      <c r="I26" s="553">
        <v>274.600978</v>
      </c>
      <c r="J26" s="310">
        <v>3742.5308870072904</v>
      </c>
      <c r="K26" s="311">
        <v>31459.249869666586</v>
      </c>
      <c r="L26" s="335"/>
      <c r="M26" s="139"/>
    </row>
    <row r="27" spans="2:16" ht="14.25">
      <c r="B27" s="149">
        <v>1991</v>
      </c>
      <c r="C27" s="306">
        <v>0.12897142320681207</v>
      </c>
      <c r="D27" s="307">
        <v>3656.3930195971861</v>
      </c>
      <c r="E27" s="308">
        <v>22.447979046014716</v>
      </c>
      <c r="F27" s="309">
        <v>217.80888707467852</v>
      </c>
      <c r="G27" s="308">
        <v>0.38848530916799995</v>
      </c>
      <c r="H27" s="310">
        <v>3897.0383710270476</v>
      </c>
      <c r="I27" s="553">
        <v>282.85147999999998</v>
      </c>
      <c r="J27" s="310">
        <v>4179.8898510270474</v>
      </c>
      <c r="K27" s="311">
        <v>32409.426422505901</v>
      </c>
      <c r="L27" s="335"/>
      <c r="M27" s="139"/>
    </row>
    <row r="28" spans="2:16" ht="14.25">
      <c r="B28" s="149">
        <v>1992</v>
      </c>
      <c r="C28" s="306">
        <v>0.16542840277802803</v>
      </c>
      <c r="D28" s="307">
        <v>3945.3228542057986</v>
      </c>
      <c r="E28" s="308">
        <v>182.14362255649223</v>
      </c>
      <c r="F28" s="309">
        <v>869.86795526065555</v>
      </c>
      <c r="G28" s="308">
        <v>0.42380215545599997</v>
      </c>
      <c r="H28" s="310">
        <v>4997.7582341784018</v>
      </c>
      <c r="I28" s="553">
        <v>284.71474000000001</v>
      </c>
      <c r="J28" s="310">
        <v>5282.4729741784022</v>
      </c>
      <c r="K28" s="311">
        <v>31932.079893598613</v>
      </c>
      <c r="L28" s="335"/>
      <c r="M28" s="139"/>
    </row>
    <row r="29" spans="2:16" ht="14.25">
      <c r="B29" s="149">
        <v>1993</v>
      </c>
      <c r="C29" s="306">
        <v>0.13224717404400296</v>
      </c>
      <c r="D29" s="307">
        <v>3630.7588735982126</v>
      </c>
      <c r="E29" s="308">
        <v>55.26162856619149</v>
      </c>
      <c r="F29" s="309">
        <v>424.59622671117711</v>
      </c>
      <c r="G29" s="308">
        <v>0.42380215545599997</v>
      </c>
      <c r="H29" s="310">
        <v>4111.0405310310371</v>
      </c>
      <c r="I29" s="553">
        <v>300.48266000000001</v>
      </c>
      <c r="J29" s="310">
        <v>4411.5231910310367</v>
      </c>
      <c r="K29" s="311">
        <v>33358.166047186598</v>
      </c>
      <c r="L29" s="335"/>
      <c r="M29" s="139"/>
    </row>
    <row r="30" spans="2:16" ht="14.25">
      <c r="B30" s="149">
        <v>1994</v>
      </c>
      <c r="C30" s="306">
        <v>0.1051469803879813</v>
      </c>
      <c r="D30" s="307">
        <v>2894.9414654424613</v>
      </c>
      <c r="E30" s="308">
        <v>18.716032771961228</v>
      </c>
      <c r="F30" s="309">
        <v>370.26419960390251</v>
      </c>
      <c r="G30" s="308">
        <v>0.42380215545599997</v>
      </c>
      <c r="H30" s="310">
        <v>3284.345499973781</v>
      </c>
      <c r="I30" s="553">
        <v>293.37513999999999</v>
      </c>
      <c r="J30" s="310">
        <v>3577.7206399737811</v>
      </c>
      <c r="K30" s="311">
        <v>34025.89999990839</v>
      </c>
      <c r="L30" s="335"/>
      <c r="M30" s="139"/>
    </row>
    <row r="31" spans="2:16" ht="14.25">
      <c r="B31" s="149">
        <v>1995</v>
      </c>
      <c r="C31" s="306">
        <v>9.3494103194114053E-2</v>
      </c>
      <c r="D31" s="307">
        <v>2421.1719651507506</v>
      </c>
      <c r="E31" s="308">
        <v>44.776679377483823</v>
      </c>
      <c r="F31" s="309">
        <v>542.86160162631336</v>
      </c>
      <c r="G31" s="308">
        <v>0.49092975532080008</v>
      </c>
      <c r="H31" s="310">
        <v>3009.301175909869</v>
      </c>
      <c r="I31" s="553">
        <v>286.33748000000003</v>
      </c>
      <c r="J31" s="310">
        <v>3295.6386559098692</v>
      </c>
      <c r="K31" s="311">
        <v>35249.695363860621</v>
      </c>
      <c r="L31" s="335"/>
      <c r="M31" s="139"/>
    </row>
    <row r="32" spans="2:16" ht="14.25">
      <c r="B32" s="149">
        <v>1996</v>
      </c>
      <c r="C32" s="306">
        <v>0.12305617510942</v>
      </c>
      <c r="D32" s="307">
        <v>3367.8480845438294</v>
      </c>
      <c r="E32" s="308">
        <v>17.4311992471957</v>
      </c>
      <c r="F32" s="309">
        <v>594.81399877832348</v>
      </c>
      <c r="G32" s="308">
        <v>0.57400111985040003</v>
      </c>
      <c r="H32" s="310">
        <v>3980.6672836891989</v>
      </c>
      <c r="I32" s="553">
        <v>395.21280000000002</v>
      </c>
      <c r="J32" s="310">
        <v>4375.8800836891987</v>
      </c>
      <c r="K32" s="311">
        <v>35560.02028990598</v>
      </c>
      <c r="L32" s="335"/>
      <c r="M32" s="139"/>
    </row>
    <row r="33" spans="2:18" ht="14.25">
      <c r="B33" s="150">
        <v>1997</v>
      </c>
      <c r="C33" s="306">
        <v>0.17305696901356343</v>
      </c>
      <c r="D33" s="307">
        <v>4729.035173897556</v>
      </c>
      <c r="E33" s="308">
        <v>7.9686226868953811E-2</v>
      </c>
      <c r="F33" s="309">
        <v>1159.3053668840103</v>
      </c>
      <c r="G33" s="308">
        <v>0.6729735958487999</v>
      </c>
      <c r="H33" s="310">
        <v>5889.093200604284</v>
      </c>
      <c r="I33" s="553">
        <v>339.43459999999999</v>
      </c>
      <c r="J33" s="310">
        <v>6228.5278006042836</v>
      </c>
      <c r="K33" s="311">
        <v>35991.198945106451</v>
      </c>
      <c r="L33" s="335"/>
      <c r="M33" s="139"/>
    </row>
    <row r="34" spans="2:18" ht="14.25">
      <c r="B34" s="149">
        <v>1998</v>
      </c>
      <c r="C34" s="306">
        <v>0.1312399500751403</v>
      </c>
      <c r="D34" s="307">
        <v>3628.9835104371823</v>
      </c>
      <c r="E34" s="308">
        <v>2.8276107420107932</v>
      </c>
      <c r="F34" s="309">
        <v>742.03102969092163</v>
      </c>
      <c r="G34" s="308">
        <v>0.55984025877839994</v>
      </c>
      <c r="H34" s="310">
        <v>4374.4019911288933</v>
      </c>
      <c r="I34" s="553">
        <v>426.26355728725139</v>
      </c>
      <c r="J34" s="310">
        <v>4800.6655484161447</v>
      </c>
      <c r="K34" s="311">
        <v>36579.300324844407</v>
      </c>
      <c r="L34" s="335"/>
      <c r="M34" s="139"/>
    </row>
    <row r="35" spans="2:18" ht="14.25">
      <c r="B35" s="149">
        <f t="shared" ref="B35:B46" si="0">B34+1</f>
        <v>1999</v>
      </c>
      <c r="C35" s="306">
        <v>0.1644890521796753</v>
      </c>
      <c r="D35" s="307">
        <v>4551.9523911558572</v>
      </c>
      <c r="E35" s="308">
        <v>4.4689574474256449E-2</v>
      </c>
      <c r="F35" s="309">
        <v>1079.2908800946773</v>
      </c>
      <c r="G35" s="308">
        <v>0.61684198991279993</v>
      </c>
      <c r="H35" s="310">
        <v>5631.9048028149218</v>
      </c>
      <c r="I35" s="553">
        <v>395.50165535702644</v>
      </c>
      <c r="J35" s="310">
        <v>6027.4064581719485</v>
      </c>
      <c r="K35" s="311">
        <v>36643.207425063578</v>
      </c>
      <c r="L35" s="335"/>
      <c r="M35" s="139"/>
    </row>
    <row r="36" spans="2:18" ht="14.25">
      <c r="B36" s="149">
        <f t="shared" si="0"/>
        <v>2000</v>
      </c>
      <c r="C36" s="306">
        <v>0.15037791105662246</v>
      </c>
      <c r="D36" s="307">
        <v>4439.850983043867</v>
      </c>
      <c r="E36" s="308">
        <v>1.4150670653459161E-2</v>
      </c>
      <c r="F36" s="309">
        <v>870.46744763607751</v>
      </c>
      <c r="G36" s="308">
        <v>0.60981274321199996</v>
      </c>
      <c r="H36" s="310">
        <v>5310.9423940938104</v>
      </c>
      <c r="I36" s="553">
        <v>413.74373592761651</v>
      </c>
      <c r="J36" s="310">
        <v>5724.6861300214268</v>
      </c>
      <c r="K36" s="311">
        <v>38068.663740553522</v>
      </c>
      <c r="L36" s="335"/>
      <c r="M36" s="139"/>
    </row>
    <row r="37" spans="2:18" ht="14.25">
      <c r="B37" s="149">
        <f t="shared" si="0"/>
        <v>2001</v>
      </c>
      <c r="C37" s="306">
        <v>0.18576728159390452</v>
      </c>
      <c r="D37" s="307">
        <v>5440.170076839242</v>
      </c>
      <c r="E37" s="308">
        <v>0</v>
      </c>
      <c r="F37" s="309">
        <v>1332.7613066957119</v>
      </c>
      <c r="G37" s="308">
        <v>0.57446177436720003</v>
      </c>
      <c r="H37" s="310">
        <v>6773.5058453093216</v>
      </c>
      <c r="I37" s="553">
        <v>326.21258439517453</v>
      </c>
      <c r="J37" s="310">
        <v>7099.718429704496</v>
      </c>
      <c r="K37" s="311">
        <v>38218.347002701979</v>
      </c>
      <c r="L37" s="335"/>
      <c r="M37" s="139"/>
    </row>
    <row r="38" spans="2:18" ht="14.25">
      <c r="B38" s="149">
        <f t="shared" si="0"/>
        <v>2002</v>
      </c>
      <c r="C38" s="306">
        <v>0.16505862291946641</v>
      </c>
      <c r="D38" s="307">
        <v>4790.2513600386364</v>
      </c>
      <c r="E38" s="308">
        <v>3.7665661347177455E-3</v>
      </c>
      <c r="F38" s="309">
        <v>1336.0468169007233</v>
      </c>
      <c r="G38" s="308">
        <v>0.53488041888992388</v>
      </c>
      <c r="H38" s="310">
        <v>6126.8368239243846</v>
      </c>
      <c r="I38" s="553">
        <v>374.13578387023142</v>
      </c>
      <c r="J38" s="310">
        <v>6500.9726077946161</v>
      </c>
      <c r="K38" s="311">
        <v>39385.840574754446</v>
      </c>
      <c r="L38" s="335"/>
      <c r="M38" s="139"/>
      <c r="R38" s="334"/>
    </row>
    <row r="39" spans="2:18" ht="14.25">
      <c r="B39" s="149">
        <f t="shared" si="0"/>
        <v>2003</v>
      </c>
      <c r="C39" s="306">
        <v>0.19694151391326506</v>
      </c>
      <c r="D39" s="307">
        <v>4498.4206404825172</v>
      </c>
      <c r="E39" s="308">
        <v>17.491070535395032</v>
      </c>
      <c r="F39" s="309">
        <v>2923.0775965752619</v>
      </c>
      <c r="G39" s="308">
        <v>0.80619843938390678</v>
      </c>
      <c r="H39" s="310">
        <v>7439.7955060325576</v>
      </c>
      <c r="I39" s="553">
        <v>330.39957026642901</v>
      </c>
      <c r="J39" s="310">
        <v>7770.1950762989864</v>
      </c>
      <c r="K39" s="311">
        <v>39454.327946930767</v>
      </c>
      <c r="L39" s="335"/>
      <c r="M39" s="139"/>
    </row>
    <row r="40" spans="2:18" ht="14.25">
      <c r="B40" s="149">
        <f t="shared" si="0"/>
        <v>2004</v>
      </c>
      <c r="C40" s="306">
        <v>0.1788091930896771</v>
      </c>
      <c r="D40" s="307">
        <v>3194.6688742455699</v>
      </c>
      <c r="E40" s="308">
        <v>20.922225586670557</v>
      </c>
      <c r="F40" s="309">
        <v>3826.459796896178</v>
      </c>
      <c r="G40" s="308">
        <v>0.95033632491223174</v>
      </c>
      <c r="H40" s="310">
        <v>7043.0012330533309</v>
      </c>
      <c r="I40" s="553">
        <v>335.410227800359</v>
      </c>
      <c r="J40" s="310">
        <v>7378.4114608536902</v>
      </c>
      <c r="K40" s="311">
        <v>41264.161720998527</v>
      </c>
      <c r="L40" s="335"/>
      <c r="M40" s="139"/>
    </row>
    <row r="41" spans="2:18" ht="14.25">
      <c r="B41" s="149">
        <f t="shared" si="0"/>
        <v>2005</v>
      </c>
      <c r="C41" s="306">
        <v>0.22539453316210462</v>
      </c>
      <c r="D41" s="307">
        <v>4184.919234394366</v>
      </c>
      <c r="E41" s="308">
        <v>3.0814100649655076</v>
      </c>
      <c r="F41" s="309">
        <v>4847.3578371089934</v>
      </c>
      <c r="G41" s="308">
        <v>0.91110778814162852</v>
      </c>
      <c r="H41" s="310">
        <v>9036.2695893564651</v>
      </c>
      <c r="I41" s="553">
        <v>320.80909811542227</v>
      </c>
      <c r="J41" s="310">
        <v>9357.078687471887</v>
      </c>
      <c r="K41" s="311">
        <v>41514.222000860347</v>
      </c>
      <c r="L41" s="335"/>
      <c r="M41" s="139"/>
    </row>
    <row r="42" spans="2:18" ht="14.25">
      <c r="B42" s="149">
        <f t="shared" si="0"/>
        <v>2006</v>
      </c>
      <c r="C42" s="306">
        <v>0.21917895532763915</v>
      </c>
      <c r="D42" s="307">
        <v>4268.4163683373354</v>
      </c>
      <c r="E42" s="308">
        <v>16.033925680691148</v>
      </c>
      <c r="F42" s="309">
        <v>4581.6452144604391</v>
      </c>
      <c r="G42" s="308">
        <v>1.0181318311731962</v>
      </c>
      <c r="H42" s="310">
        <v>8867.1136403096389</v>
      </c>
      <c r="I42" s="553">
        <v>365.40924911461025</v>
      </c>
      <c r="J42" s="310">
        <v>9232.52288942425</v>
      </c>
      <c r="K42" s="311">
        <v>42123.217877478397</v>
      </c>
      <c r="L42" s="335"/>
      <c r="M42" s="139"/>
    </row>
    <row r="43" spans="2:18" ht="14.25">
      <c r="B43" s="149">
        <f t="shared" si="0"/>
        <v>2007</v>
      </c>
      <c r="C43" s="306">
        <v>0.18616801156977075</v>
      </c>
      <c r="D43" s="307">
        <v>5195.7392340858478</v>
      </c>
      <c r="E43" s="308">
        <v>0.50475866314686058</v>
      </c>
      <c r="F43" s="309">
        <v>2342.4353402535203</v>
      </c>
      <c r="G43" s="308">
        <v>1.0381592128230359</v>
      </c>
      <c r="H43" s="310">
        <v>7539.7174922153381</v>
      </c>
      <c r="I43" s="553">
        <v>332.14476946951868</v>
      </c>
      <c r="J43" s="310">
        <v>7871.862261684857</v>
      </c>
      <c r="K43" s="311">
        <v>42283.645806329587</v>
      </c>
      <c r="L43" s="335"/>
      <c r="M43" s="139"/>
    </row>
    <row r="44" spans="2:18" ht="14.25">
      <c r="B44" s="149">
        <f t="shared" si="0"/>
        <v>2008</v>
      </c>
      <c r="C44" s="306">
        <v>0.21380046386720103</v>
      </c>
      <c r="D44" s="312">
        <v>4566.4797900612284</v>
      </c>
      <c r="E44" s="308">
        <v>98.28892596087384</v>
      </c>
      <c r="F44" s="309">
        <v>3863.9548400240869</v>
      </c>
      <c r="G44" s="313">
        <v>1.01335974895152</v>
      </c>
      <c r="H44" s="310">
        <v>8529.7369157951416</v>
      </c>
      <c r="I44" s="553">
        <v>515.37831020666204</v>
      </c>
      <c r="J44" s="310">
        <v>9045.1152260018043</v>
      </c>
      <c r="K44" s="311">
        <v>42306.340512058203</v>
      </c>
      <c r="L44" s="335"/>
      <c r="M44" s="139"/>
    </row>
    <row r="45" spans="2:18" ht="14.25">
      <c r="B45" s="149">
        <f t="shared" si="0"/>
        <v>2009</v>
      </c>
      <c r="C45" s="306">
        <v>0.16639610346051598</v>
      </c>
      <c r="D45" s="312">
        <v>3779.9097120584638</v>
      </c>
      <c r="E45" s="308">
        <v>6.8662851601761385</v>
      </c>
      <c r="F45" s="309">
        <v>2491.0262309576365</v>
      </c>
      <c r="G45" s="313">
        <v>1.058729236963027</v>
      </c>
      <c r="H45" s="310">
        <v>6278.8609574132388</v>
      </c>
      <c r="I45" s="553">
        <v>723.23584090968279</v>
      </c>
      <c r="J45" s="310">
        <v>7002.096798322922</v>
      </c>
      <c r="K45" s="311">
        <v>42080.894039591767</v>
      </c>
      <c r="L45" s="335"/>
      <c r="M45" s="139"/>
    </row>
    <row r="46" spans="2:18" ht="14.25">
      <c r="B46" s="149">
        <f t="shared" si="0"/>
        <v>2010</v>
      </c>
      <c r="C46" s="306">
        <v>0.14259753757380716</v>
      </c>
      <c r="D46" s="312">
        <v>4189.1149649670224</v>
      </c>
      <c r="E46" s="308">
        <v>1.2795620473972966</v>
      </c>
      <c r="F46" s="309">
        <v>1249.7687357235118</v>
      </c>
      <c r="G46" s="313">
        <v>1.1154140292592292</v>
      </c>
      <c r="H46" s="310">
        <v>5441.2786767671905</v>
      </c>
      <c r="I46" s="553">
        <v>755.63533686759365</v>
      </c>
      <c r="J46" s="310">
        <v>6196.9140136347842</v>
      </c>
      <c r="K46" s="311">
        <v>43457.370436199279</v>
      </c>
      <c r="L46" s="335"/>
      <c r="M46" s="139"/>
    </row>
    <row r="47" spans="2:18" ht="14.25">
      <c r="B47" s="408">
        <v>2011</v>
      </c>
      <c r="C47" s="306">
        <v>0.1293592484883769</v>
      </c>
      <c r="D47" s="307">
        <v>3356.610730631086</v>
      </c>
      <c r="E47" s="308">
        <v>1.0350310505464067</v>
      </c>
      <c r="F47" s="309">
        <v>1484.6376555773072</v>
      </c>
      <c r="G47" s="313">
        <v>1.1157602623124396</v>
      </c>
      <c r="H47" s="310">
        <v>4843.3991775212526</v>
      </c>
      <c r="I47" s="554">
        <v>736.9570527055148</v>
      </c>
      <c r="J47" s="310">
        <v>5580.3562302267674</v>
      </c>
      <c r="K47" s="311">
        <v>43138.440393213707</v>
      </c>
      <c r="L47" s="401"/>
      <c r="M47" s="139"/>
    </row>
    <row r="48" spans="2:18" ht="13.5" thickBot="1">
      <c r="B48" s="494">
        <v>2012</v>
      </c>
      <c r="C48" s="495">
        <v>0.16500000000000001</v>
      </c>
      <c r="D48" s="496">
        <v>3641.1571831158003</v>
      </c>
      <c r="E48" s="497">
        <v>2.7668991970708134</v>
      </c>
      <c r="F48" s="496">
        <v>2657.7358537470004</v>
      </c>
      <c r="G48" s="498">
        <v>1.3129762711895998</v>
      </c>
      <c r="H48" s="499">
        <v>6302.9729123310599</v>
      </c>
      <c r="I48" s="500">
        <v>753.07136588176672</v>
      </c>
      <c r="J48" s="501">
        <v>7056.0442782128266</v>
      </c>
      <c r="K48" s="502">
        <v>42845.258870449536</v>
      </c>
      <c r="L48" s="148"/>
    </row>
    <row r="49" spans="2:13">
      <c r="C49" s="148"/>
      <c r="D49" s="151"/>
      <c r="E49" s="151"/>
      <c r="F49" s="151"/>
      <c r="G49" s="151"/>
      <c r="H49" s="151"/>
      <c r="I49" s="148"/>
      <c r="J49" s="406"/>
      <c r="K49" s="148"/>
      <c r="L49" s="148"/>
    </row>
    <row r="50" spans="2:13" ht="15">
      <c r="C50" s="440"/>
      <c r="D50" s="148"/>
      <c r="E50" s="148"/>
      <c r="F50" s="148"/>
      <c r="G50" s="148"/>
      <c r="H50" s="148"/>
      <c r="I50" s="148"/>
      <c r="J50" s="148"/>
      <c r="K50" s="148"/>
      <c r="L50" s="148"/>
    </row>
    <row r="51" spans="2:13" ht="15">
      <c r="C51" s="148"/>
      <c r="D51" s="231"/>
      <c r="E51" s="148"/>
      <c r="F51" s="231"/>
      <c r="G51" s="231"/>
      <c r="H51" s="148"/>
      <c r="I51" s="148"/>
      <c r="J51" s="406"/>
      <c r="K51" s="148"/>
      <c r="L51" s="148"/>
      <c r="M51" s="148"/>
    </row>
    <row r="52" spans="2:13" ht="15">
      <c r="B52" s="228"/>
      <c r="C52" s="228"/>
      <c r="D52" s="228"/>
      <c r="E52" s="228"/>
      <c r="F52" s="231"/>
      <c r="G52" s="231"/>
      <c r="H52" s="407"/>
      <c r="I52" s="231"/>
      <c r="J52" s="148"/>
      <c r="K52" s="148"/>
      <c r="L52" s="148"/>
      <c r="M52" s="148"/>
    </row>
    <row r="53" spans="2:13" ht="15">
      <c r="B53" s="224"/>
      <c r="C53" s="138"/>
      <c r="D53" s="138"/>
      <c r="E53" s="138"/>
      <c r="F53" s="138"/>
      <c r="G53" s="138"/>
      <c r="H53" s="314"/>
      <c r="I53" s="138"/>
      <c r="J53" s="148"/>
      <c r="K53" s="148"/>
      <c r="L53" s="148"/>
      <c r="M53" s="148"/>
    </row>
    <row r="54" spans="2:13" ht="15">
      <c r="B54" s="48" t="s">
        <v>453</v>
      </c>
      <c r="C54"/>
      <c r="D54"/>
      <c r="E54"/>
      <c r="F54" s="228"/>
      <c r="G54" s="228"/>
      <c r="H54" s="314"/>
      <c r="I54" s="138"/>
      <c r="J54" s="148"/>
      <c r="K54" s="148"/>
      <c r="L54" s="148"/>
      <c r="M54" s="148"/>
    </row>
    <row r="55" spans="2:13" ht="14.25">
      <c r="B55" s="710" t="s">
        <v>457</v>
      </c>
      <c r="C55" s="423" t="s">
        <v>478</v>
      </c>
      <c r="D55" s="423" t="s">
        <v>479</v>
      </c>
      <c r="E55" s="424" t="s">
        <v>480</v>
      </c>
      <c r="F55" s="139"/>
      <c r="G55" s="139"/>
      <c r="H55" s="139"/>
      <c r="I55" s="139"/>
    </row>
    <row r="56" spans="2:13">
      <c r="B56" s="373" t="s">
        <v>455</v>
      </c>
      <c r="C56" s="560">
        <v>1</v>
      </c>
      <c r="D56" s="561">
        <v>21</v>
      </c>
      <c r="E56" s="562">
        <v>310</v>
      </c>
    </row>
    <row r="57" spans="2:13">
      <c r="B57" s="50" t="s">
        <v>456</v>
      </c>
      <c r="C57" s="563">
        <v>1</v>
      </c>
      <c r="D57" s="563">
        <v>25</v>
      </c>
      <c r="E57" s="563">
        <v>298</v>
      </c>
    </row>
    <row r="58" spans="2:13">
      <c r="B58" s="50" t="s">
        <v>454</v>
      </c>
      <c r="C58" s="564" t="s">
        <v>212</v>
      </c>
      <c r="D58" s="565">
        <f>D57/D56</f>
        <v>1.1904761904761905</v>
      </c>
      <c r="E58" s="566">
        <f>E57/E56</f>
        <v>0.96129032258064517</v>
      </c>
    </row>
    <row r="59" spans="2:13">
      <c r="B59" s="129" t="s">
        <v>485</v>
      </c>
      <c r="C59"/>
      <c r="D59"/>
      <c r="E59"/>
    </row>
    <row r="60" spans="2:13">
      <c r="B60" s="15" t="s">
        <v>487</v>
      </c>
      <c r="C60"/>
      <c r="D60"/>
      <c r="E60"/>
    </row>
    <row r="61" spans="2:13">
      <c r="B61" s="47" t="s">
        <v>458</v>
      </c>
    </row>
    <row r="65" spans="2:11">
      <c r="B65" s="177" t="s">
        <v>471</v>
      </c>
    </row>
    <row r="66" spans="2:11">
      <c r="B66" s="397" t="s">
        <v>481</v>
      </c>
      <c r="G66" s="139"/>
      <c r="H66" s="110"/>
      <c r="I66" s="262"/>
    </row>
    <row r="67" spans="2:11" ht="44.25">
      <c r="B67" s="130" t="s">
        <v>244</v>
      </c>
      <c r="C67" s="130" t="s">
        <v>0</v>
      </c>
      <c r="D67" s="130" t="s">
        <v>2</v>
      </c>
      <c r="E67" s="131" t="s">
        <v>3</v>
      </c>
      <c r="G67" s="139"/>
      <c r="H67" s="111"/>
      <c r="I67" s="262"/>
    </row>
    <row r="68" spans="2:11">
      <c r="B68" s="725">
        <v>2012</v>
      </c>
      <c r="C68" s="179" t="s">
        <v>27</v>
      </c>
      <c r="D68" s="594" t="s">
        <v>9</v>
      </c>
      <c r="E68" s="493">
        <f>C79</f>
        <v>0.16519351126892662</v>
      </c>
      <c r="G68" s="139"/>
      <c r="H68" s="110"/>
      <c r="I68" s="264"/>
    </row>
    <row r="69" spans="2:11">
      <c r="B69" s="139"/>
      <c r="C69" s="180"/>
      <c r="D69" s="143"/>
      <c r="E69" s="178"/>
    </row>
    <row r="70" spans="2:11" ht="13.5" thickBot="1"/>
    <row r="71" spans="2:11">
      <c r="B71" s="133" t="s">
        <v>28</v>
      </c>
      <c r="C71" s="134" t="s">
        <v>470</v>
      </c>
      <c r="D71" s="135"/>
      <c r="E71" s="135"/>
      <c r="F71" s="135"/>
      <c r="G71" s="135"/>
      <c r="H71" s="135"/>
      <c r="I71" s="135"/>
      <c r="J71" s="135"/>
      <c r="K71" s="136"/>
    </row>
    <row r="72" spans="2:11" ht="15.75">
      <c r="B72" s="137" t="s">
        <v>29</v>
      </c>
      <c r="C72" s="138" t="s">
        <v>339</v>
      </c>
      <c r="D72" s="139"/>
      <c r="E72" s="139"/>
      <c r="F72" s="139"/>
      <c r="G72" s="139"/>
      <c r="H72" s="139"/>
      <c r="I72" s="139"/>
      <c r="J72" s="139"/>
      <c r="K72" s="140"/>
    </row>
    <row r="73" spans="2:11">
      <c r="B73" s="137"/>
      <c r="C73" s="138" t="s">
        <v>492</v>
      </c>
      <c r="D73" s="139"/>
      <c r="E73" s="139"/>
      <c r="F73" s="139"/>
      <c r="G73" s="139"/>
      <c r="H73" s="139"/>
      <c r="I73" s="139"/>
      <c r="J73" s="139"/>
      <c r="K73" s="140"/>
    </row>
    <row r="74" spans="2:11">
      <c r="B74" s="141"/>
      <c r="C74" s="139"/>
      <c r="D74" s="139"/>
      <c r="E74" s="142" t="s">
        <v>43</v>
      </c>
      <c r="F74" s="139"/>
      <c r="G74" s="139"/>
      <c r="H74" s="139"/>
      <c r="I74" s="139"/>
      <c r="J74" s="139"/>
      <c r="K74" s="140"/>
    </row>
    <row r="75" spans="2:11" ht="41.25">
      <c r="B75" s="578" t="s">
        <v>259</v>
      </c>
      <c r="C75" s="595">
        <f>C92</f>
        <v>6303.1592885350938</v>
      </c>
      <c r="D75" s="152" t="s">
        <v>33</v>
      </c>
      <c r="E75" s="15" t="s">
        <v>398</v>
      </c>
      <c r="G75" s="152"/>
      <c r="H75" s="153"/>
      <c r="I75" s="153"/>
      <c r="J75" s="139"/>
      <c r="K75" s="140"/>
    </row>
    <row r="76" spans="2:11">
      <c r="B76" s="580" t="s">
        <v>30</v>
      </c>
      <c r="C76" s="592">
        <f>C97</f>
        <v>774.59946550058953</v>
      </c>
      <c r="D76" s="152" t="s">
        <v>33</v>
      </c>
      <c r="E76" s="15" t="s">
        <v>398</v>
      </c>
      <c r="G76" s="152"/>
      <c r="H76" s="153"/>
      <c r="I76" s="153"/>
      <c r="J76" s="139"/>
      <c r="K76" s="140"/>
    </row>
    <row r="77" spans="2:11">
      <c r="B77" s="580" t="s">
        <v>31</v>
      </c>
      <c r="C77" s="596">
        <f>C14</f>
        <v>42845.258870449536</v>
      </c>
      <c r="D77" s="152" t="s">
        <v>34</v>
      </c>
      <c r="E77" s="355" t="s">
        <v>417</v>
      </c>
      <c r="G77" s="409"/>
      <c r="H77" s="409"/>
      <c r="I77" s="409"/>
      <c r="J77" s="139"/>
      <c r="K77" s="140"/>
    </row>
    <row r="78" spans="2:11">
      <c r="B78" s="583" t="s">
        <v>407</v>
      </c>
      <c r="C78" s="596">
        <f>C15</f>
        <v>39204.581551219766</v>
      </c>
      <c r="D78" s="152" t="s">
        <v>34</v>
      </c>
      <c r="E78" s="355" t="s">
        <v>417</v>
      </c>
      <c r="G78" s="409"/>
      <c r="H78" s="409"/>
      <c r="I78" s="409"/>
      <c r="J78" s="139"/>
      <c r="K78" s="140"/>
    </row>
    <row r="79" spans="2:11">
      <c r="B79" s="584" t="s">
        <v>410</v>
      </c>
      <c r="C79" s="597">
        <f>(C75+C76)/C77</f>
        <v>0.16519351126892662</v>
      </c>
      <c r="D79" s="586" t="s">
        <v>36</v>
      </c>
      <c r="E79" s="144" t="s">
        <v>245</v>
      </c>
      <c r="F79" s="143"/>
      <c r="G79" s="143"/>
      <c r="H79" s="139"/>
      <c r="I79" s="139"/>
      <c r="J79" s="139"/>
      <c r="K79" s="140"/>
    </row>
    <row r="80" spans="2:11" ht="15.75" thickBot="1">
      <c r="B80" s="587" t="s">
        <v>411</v>
      </c>
      <c r="C80" s="593">
        <f>(C75+C76)/C78</f>
        <v>0.18053397011236494</v>
      </c>
      <c r="D80" s="588" t="s">
        <v>36</v>
      </c>
      <c r="E80" s="316"/>
      <c r="F80" s="145"/>
      <c r="G80" s="145"/>
      <c r="H80" s="145"/>
      <c r="I80" s="145"/>
      <c r="J80" s="145"/>
      <c r="K80" s="146"/>
    </row>
    <row r="86" spans="2:6">
      <c r="B86" s="429"/>
      <c r="C86" s="429"/>
      <c r="D86" s="429"/>
      <c r="E86" s="429"/>
    </row>
    <row r="90" spans="2:6" ht="15.75">
      <c r="B90" s="419"/>
      <c r="C90" s="419" t="s">
        <v>484</v>
      </c>
      <c r="D90" s="419" t="s">
        <v>228</v>
      </c>
      <c r="E90" s="419" t="s">
        <v>229</v>
      </c>
      <c r="F90" s="131" t="s">
        <v>230</v>
      </c>
    </row>
    <row r="91" spans="2:6">
      <c r="B91" s="373" t="s">
        <v>475</v>
      </c>
      <c r="C91" s="726" t="s">
        <v>212</v>
      </c>
      <c r="D91" s="430">
        <v>6281.5188813447094</v>
      </c>
      <c r="E91" s="431">
        <v>0.21127680635799453</v>
      </c>
      <c r="F91" s="431">
        <v>5.4894251783337331E-2</v>
      </c>
    </row>
    <row r="92" spans="2:6">
      <c r="B92" s="50"/>
      <c r="C92" s="420">
        <f>SUM(D92:F92)</f>
        <v>6303.1592885350938</v>
      </c>
      <c r="D92" s="420">
        <f>D91*C57</f>
        <v>6281.5188813447094</v>
      </c>
      <c r="E92" s="420">
        <f>E91*D57</f>
        <v>5.2819201589498634</v>
      </c>
      <c r="F92" s="420">
        <f>F91*E57</f>
        <v>16.358487031434525</v>
      </c>
    </row>
    <row r="95" spans="2:6" ht="15.75">
      <c r="B95" s="419"/>
      <c r="C95" s="419" t="s">
        <v>484</v>
      </c>
      <c r="D95" s="419" t="s">
        <v>228</v>
      </c>
      <c r="E95" s="419" t="s">
        <v>229</v>
      </c>
      <c r="F95" s="131" t="s">
        <v>230</v>
      </c>
    </row>
    <row r="96" spans="2:6">
      <c r="B96" s="373" t="s">
        <v>474</v>
      </c>
      <c r="C96" s="726" t="s">
        <v>212</v>
      </c>
      <c r="D96" s="421">
        <v>640.04884288294545</v>
      </c>
      <c r="E96" s="432">
        <v>5.382024904705764</v>
      </c>
      <c r="F96" s="433" t="s">
        <v>212</v>
      </c>
    </row>
    <row r="97" spans="2:6">
      <c r="B97" s="50"/>
      <c r="C97" s="420">
        <f>SUM(D97:E97)</f>
        <v>774.59946550058953</v>
      </c>
      <c r="D97" s="420">
        <f>D96*C57</f>
        <v>640.04884288294545</v>
      </c>
      <c r="E97" s="420">
        <f>E96*D57</f>
        <v>134.55062261764411</v>
      </c>
      <c r="F97" s="420"/>
    </row>
    <row r="99" spans="2:6">
      <c r="C99" s="429"/>
    </row>
  </sheetData>
  <hyperlinks>
    <hyperlink ref="E12" r:id="rId1"/>
    <hyperlink ref="E14" r:id="rId2"/>
    <hyperlink ref="E15" r:id="rId3"/>
    <hyperlink ref="E13" r:id="rId4"/>
    <hyperlink ref="E75" r:id="rId5"/>
    <hyperlink ref="E77" r:id="rId6"/>
    <hyperlink ref="E78" r:id="rId7"/>
    <hyperlink ref="E76" r:id="rId8"/>
    <hyperlink ref="B60" r:id="rId9"/>
  </hyperlinks>
  <pageMargins left="0.74803149606299213" right="0.74803149606299213" top="0.98425196850393704" bottom="0.98425196850393704" header="0.51181102362204722" footer="0.51181102362204722"/>
  <pageSetup paperSize="8" scale="48" orientation="landscape" r:id="rId10"/>
  <headerFooter alignWithMargins="0"/>
  <drawing r:id="rId1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16</vt:i4>
      </vt:variant>
    </vt:vector>
  </HeadingPairs>
  <TitlesOfParts>
    <vt:vector size="16" baseType="lpstr">
      <vt:lpstr>MfE notes-MED can ignore!</vt:lpstr>
      <vt:lpstr>Contents</vt:lpstr>
      <vt:lpstr>Glossary</vt:lpstr>
      <vt:lpstr>Scope 1 Stationary fuels</vt:lpstr>
      <vt:lpstr>Scope 1 Uncertainties</vt:lpstr>
      <vt:lpstr>Scope 1 Transport fuels</vt:lpstr>
      <vt:lpstr>Scope 1 Transport by distance </vt:lpstr>
      <vt:lpstr>Scope 1 Refrigerants</vt:lpstr>
      <vt:lpstr>Scope 2 Electricity</vt:lpstr>
      <vt:lpstr>Scope 3 T &amp; D losses</vt:lpstr>
      <vt:lpstr>Scope 3 Taxi and rental cars</vt:lpstr>
      <vt:lpstr>Scope 3 Air travel</vt:lpstr>
      <vt:lpstr>Scope 3 Waste to landfill</vt:lpstr>
      <vt:lpstr>Transport-background data</vt:lpstr>
      <vt:lpstr>rental car &amp; taxi by cc</vt:lpstr>
      <vt:lpstr>Calorific values for EFs </vt:lpstr>
    </vt:vector>
  </TitlesOfParts>
  <Company>Ministry for the Environment</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2014 - Emissions factors 2012 calendar year</dc:title>
  <dc:subject>Blank Template with doc ID footer</dc:subject>
  <dc:creator>Peter Lee</dc:creator>
  <cp:lastModifiedBy>Emma Turrell</cp:lastModifiedBy>
  <cp:lastPrinted>2014-02-26T22:58:28Z</cp:lastPrinted>
  <dcterms:created xsi:type="dcterms:W3CDTF">2005-06-14T04:15:23Z</dcterms:created>
  <dcterms:modified xsi:type="dcterms:W3CDTF">2014-04-14T01:12:07Z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dHocReviewCycleID">
    <vt:i4>-1833452863</vt:i4>
  </property>
  <property fmtid="{D5CDD505-2E9C-101B-9397-08002B2CF9AE}" pid="3" name="_EmailSubject">
    <vt:lpwstr>For stats update</vt:lpwstr>
  </property>
  <property fmtid="{D5CDD505-2E9C-101B-9397-08002B2CF9AE}" pid="4" name="_AuthorEmail">
    <vt:lpwstr>Peter.Lee@mfe.govt.nz</vt:lpwstr>
  </property>
  <property fmtid="{D5CDD505-2E9C-101B-9397-08002B2CF9AE}" pid="5" name="_AuthorEmailDisplayName">
    <vt:lpwstr>Peter Lee</vt:lpwstr>
  </property>
  <property fmtid="{D5CDD505-2E9C-101B-9397-08002B2CF9AE}" pid="6" name="Name">
    <vt:lpwstr>000001556154</vt:lpwstr>
  </property>
  <property fmtid="{D5CDD505-2E9C-101B-9397-08002B2CF9AE}" pid="7" name="DisplayName">
    <vt:lpwstr>03 - NZ guidance for voluntary corporate GHG reporting</vt:lpwstr>
  </property>
  <property fmtid="{D5CDD505-2E9C-101B-9397-08002B2CF9AE}" pid="8" name="Class">
    <vt:lpwstr>PD/PD_CC/PD_CC_Twelve/PD_CC_Twelve_Five/PD_CC_Twelve_Five_Three</vt:lpwstr>
  </property>
  <property fmtid="{D5CDD505-2E9C-101B-9397-08002B2CF9AE}" pid="9" name="ClassComments">
    <vt:lpwstr/>
  </property>
  <property fmtid="{D5CDD505-2E9C-101B-9397-08002B2CF9AE}" pid="10" name="AddedBy">
    <vt:lpwstr>GladeO</vt:lpwstr>
  </property>
  <property fmtid="{D5CDD505-2E9C-101B-9397-08002B2CF9AE}" pid="11" name="DateAdded">
    <vt:filetime>2014-04-07T03:25:28Z</vt:filetime>
  </property>
  <property fmtid="{D5CDD505-2E9C-101B-9397-08002B2CF9AE}" pid="12" name="FirstAddedBy">
    <vt:lpwstr>LeeP</vt:lpwstr>
  </property>
  <property fmtid="{D5CDD505-2E9C-101B-9397-08002B2CF9AE}" pid="13" name="DateFirstAdded">
    <vt:filetime>2014-03-10T20:05:23Z</vt:filetime>
  </property>
  <property fmtid="{D5CDD505-2E9C-101B-9397-08002B2CF9AE}" pid="14" name="LastModifiedBy">
    <vt:lpwstr>GladeO</vt:lpwstr>
  </property>
  <property fmtid="{D5CDD505-2E9C-101B-9397-08002B2CF9AE}" pid="15" name="DateLastModified">
    <vt:filetime>2014-04-07T03:25:28Z</vt:filetime>
  </property>
  <property fmtid="{D5CDD505-2E9C-101B-9397-08002B2CF9AE}" pid="16" name="IsCheckedOut">
    <vt:bool>false</vt:bool>
  </property>
  <property fmtid="{D5CDD505-2E9C-101B-9397-08002B2CF9AE}" pid="17" name="CheckedOutBy">
    <vt:lpwstr/>
  </property>
  <property fmtid="{D5CDD505-2E9C-101B-9397-08002B2CF9AE}" pid="18" name="CheckOutComment">
    <vt:lpwstr/>
  </property>
  <property fmtid="{D5CDD505-2E9C-101B-9397-08002B2CF9AE}" pid="19" name="CheckOutDate">
    <vt:filetime>1899-12-29T12:00:00Z</vt:filetime>
  </property>
  <property fmtid="{D5CDD505-2E9C-101B-9397-08002B2CF9AE}" pid="20" name="VersionStatus">
    <vt:i4>5</vt:i4>
  </property>
  <property fmtid="{D5CDD505-2E9C-101B-9397-08002B2CF9AE}" pid="21" name="ProtectMode">
    <vt:i4>4194336</vt:i4>
  </property>
  <property fmtid="{D5CDD505-2E9C-101B-9397-08002B2CF9AE}" pid="22" name="IndexMode">
    <vt:i4>0</vt:i4>
  </property>
  <property fmtid="{D5CDD505-2E9C-101B-9397-08002B2CF9AE}" pid="23" name="MaxVersionsOnline">
    <vt:i4>0</vt:i4>
  </property>
  <property fmtid="{D5CDD505-2E9C-101B-9397-08002B2CF9AE}" pid="24" name="Version">
    <vt:lpwstr>10.4</vt:lpwstr>
  </property>
  <property fmtid="{D5CDD505-2E9C-101B-9397-08002B2CF9AE}" pid="25" name="Versions">
    <vt:lpwstr>1.0 2.0 3.0 4.0 5.0 6.0 7.0 8.0 9.0 10.0 10.1 10.2 10.3 10.4</vt:lpwstr>
  </property>
  <property fmtid="{D5CDD505-2E9C-101B-9397-08002B2CF9AE}" pid="26" name="ContentVersion">
    <vt:lpwstr>10.4</vt:lpwstr>
  </property>
  <property fmtid="{D5CDD505-2E9C-101B-9397-08002B2CF9AE}" pid="27" name="ContentType">
    <vt:i4>0</vt:i4>
  </property>
  <property fmtid="{D5CDD505-2E9C-101B-9397-08002B2CF9AE}" pid="28" name="ContentSize">
    <vt:i4>159163</vt:i4>
  </property>
  <property fmtid="{D5CDD505-2E9C-101B-9397-08002B2CF9AE}" pid="29" name="ContentFormats">
    <vt:lpwstr>XLSX</vt:lpwstr>
  </property>
  <property fmtid="{D5CDD505-2E9C-101B-9397-08002B2CF9AE}" pid="30" name="LocaleID">
    <vt:i4>0</vt:i4>
  </property>
  <property fmtid="{D5CDD505-2E9C-101B-9397-08002B2CF9AE}" pid="31" name="RequiredSignatures">
    <vt:lpwstr/>
  </property>
  <property fmtid="{D5CDD505-2E9C-101B-9397-08002B2CF9AE}" pid="32" name="SignaturesRequired">
    <vt:lpwstr/>
  </property>
  <property fmtid="{D5CDD505-2E9C-101B-9397-08002B2CF9AE}" pid="33" name="Signatures">
    <vt:lpwstr/>
  </property>
  <property fmtid="{D5CDD505-2E9C-101B-9397-08002B2CF9AE}" pid="34" name="DateAvailable">
    <vt:filetime>1899-12-29T12:00:00Z</vt:filetime>
  </property>
  <property fmtid="{D5CDD505-2E9C-101B-9397-08002B2CF9AE}" pid="35" name="DateExpires">
    <vt:filetime>1899-12-29T12:00:00Z</vt:filetime>
  </property>
  <property fmtid="{D5CDD505-2E9C-101B-9397-08002B2CF9AE}" pid="36" name="RelativeDateExpires">
    <vt:lpwstr>Never</vt:lpwstr>
  </property>
  <property fmtid="{D5CDD505-2E9C-101B-9397-08002B2CF9AE}" pid="37" name="Parents">
    <vt:lpwstr>ccdd2cede6199ce374bafcd13ce6408d</vt:lpwstr>
  </property>
  <property fmtid="{D5CDD505-2E9C-101B-9397-08002B2CF9AE}" pid="38" name="Children">
    <vt:lpwstr/>
  </property>
  <property fmtid="{D5CDD505-2E9C-101B-9397-08002B2CF9AE}" pid="39" name="Master">
    <vt:lpwstr/>
  </property>
  <property fmtid="{D5CDD505-2E9C-101B-9397-08002B2CF9AE}" pid="40" name="Slaves">
    <vt:lpwstr/>
  </property>
  <property fmtid="{D5CDD505-2E9C-101B-9397-08002B2CF9AE}" pid="41" name="PublishPaths">
    <vt:lpwstr/>
  </property>
  <property fmtid="{D5CDD505-2E9C-101B-9397-08002B2CF9AE}" pid="42" name="SeeAlso">
    <vt:lpwstr/>
  </property>
  <property fmtid="{D5CDD505-2E9C-101B-9397-08002B2CF9AE}" pid="43" name="Folders">
    <vt:lpwstr/>
  </property>
  <property fmtid="{D5CDD505-2E9C-101B-9397-08002B2CF9AE}" pid="44" name="MetaPath">
    <vt:lpwstr>\PD\PD_CC\PD_CC_Twelve\PD_CC_Twelve_Five\PD_CC_Twelve_Five_Three</vt:lpwstr>
  </property>
  <property fmtid="{D5CDD505-2E9C-101B-9397-08002B2CF9AE}" pid="45" name="ContentPath">
    <vt:lpwstr>\PD\PD_CC\PD_CC_Twelve\PD_CC_Twelve_Five\PD_CC_Twelve_Five_Three</vt:lpwstr>
  </property>
  <property fmtid="{D5CDD505-2E9C-101B-9397-08002B2CF9AE}" pid="46" name="ArchiveMetaPath">
    <vt:lpwstr>\PD\PD_CC\PD_CC_Twelve\PD_CC_Twelve_Five\PD_CC_Twelve_Five_Three</vt:lpwstr>
  </property>
  <property fmtid="{D5CDD505-2E9C-101B-9397-08002B2CF9AE}" pid="47" name="ArchiveContentPath">
    <vt:lpwstr>\PD\PD_CC\PD_CC_Twelve\PD_CC_Twelve_Five\PD_CC_Twelve_Five_Three</vt:lpwstr>
  </property>
  <property fmtid="{D5CDD505-2E9C-101B-9397-08002B2CF9AE}" pid="48" name="ContentVPath">
    <vt:lpwstr>/PD/PD_CC/PD_CC_Twelve/PD_CC_Twelve_Five/PD_CC_Twelve_Five_Three</vt:lpwstr>
  </property>
  <property fmtid="{D5CDD505-2E9C-101B-9397-08002B2CF9AE}" pid="49" name="Icon">
    <vt:lpwstr/>
  </property>
  <property fmtid="{D5CDD505-2E9C-101B-9397-08002B2CF9AE}" pid="50" name="DefaultContent">
    <vt:lpwstr/>
  </property>
  <property fmtid="{D5CDD505-2E9C-101B-9397-08002B2CF9AE}" pid="51" name="DefaultFormat">
    <vt:lpwstr>XLSX</vt:lpwstr>
  </property>
  <property fmtid="{D5CDD505-2E9C-101B-9397-08002B2CF9AE}" pid="52" name="DefaultForm">
    <vt:lpwstr/>
  </property>
  <property fmtid="{D5CDD505-2E9C-101B-9397-08002B2CF9AE}" pid="53" name="DefaultUIHandler">
    <vt:lpwstr/>
  </property>
  <property fmtid="{D5CDD505-2E9C-101B-9397-08002B2CF9AE}" pid="54" name="Abstract">
    <vt:bool>false</vt:bool>
  </property>
  <property fmtid="{D5CDD505-2E9C-101B-9397-08002B2CF9AE}" pid="55" name="PossibleSuperiors">
    <vt:lpwstr>PD_CC_Twelve_Five</vt:lpwstr>
  </property>
  <property fmtid="{D5CDD505-2E9C-101B-9397-08002B2CF9AE}" pid="56" name="HelpFileContext">
    <vt:i4>0</vt:i4>
  </property>
  <property fmtid="{D5CDD505-2E9C-101B-9397-08002B2CF9AE}" pid="57" name="HelpFileName">
    <vt:lpwstr/>
  </property>
  <property fmtid="{D5CDD505-2E9C-101B-9397-08002B2CF9AE}" pid="58" name="Description">
    <vt:lpwstr/>
  </property>
  <property fmtid="{D5CDD505-2E9C-101B-9397-08002B2CF9AE}" pid="59" name="Doctype">
    <vt:lpwstr>Other</vt:lpwstr>
  </property>
  <property fmtid="{D5CDD505-2E9C-101B-9397-08002B2CF9AE}" pid="60" name="To">
    <vt:lpwstr/>
  </property>
  <property fmtid="{D5CDD505-2E9C-101B-9397-08002B2CF9AE}" pid="61" name="From">
    <vt:lpwstr/>
  </property>
  <property fmtid="{D5CDD505-2E9C-101B-9397-08002B2CF9AE}" pid="62" name="Sent_Received">
    <vt:filetime>1899-12-29T12:00:00Z</vt:filetime>
  </property>
  <property fmtid="{D5CDD505-2E9C-101B-9397-08002B2CF9AE}" pid="63" name="Status">
    <vt:lpwstr>Draft</vt:lpwstr>
  </property>
  <property fmtid="{D5CDD505-2E9C-101B-9397-08002B2CF9AE}" pid="64" name="ContractNumber">
    <vt:lpwstr/>
  </property>
  <property fmtid="{D5CDD505-2E9C-101B-9397-08002B2CF9AE}" pid="65" name="Year">
    <vt:lpwstr>2013 - 2014</vt:lpwstr>
  </property>
  <property fmtid="{D5CDD505-2E9C-101B-9397-08002B2CF9AE}" pid="66" name="adspath">
    <vt:lpwstr>Amphora://EDRMS1/PD/PD_CC/PD_CC_Twelve/PD_CC_Twelve_Five/PD_CC_Twelve_Five_Three/000001556154</vt:lpwstr>
  </property>
  <property fmtid="{D5CDD505-2E9C-101B-9397-08002B2CF9AE}" pid="67" name="_NewReviewCycle">
    <vt:lpwstr/>
  </property>
  <property fmtid="{D5CDD505-2E9C-101B-9397-08002B2CF9AE}" pid="68" name="_PreviousAdHocReviewCycleID">
    <vt:i4>-1833452863</vt:i4>
  </property>
  <property fmtid="{D5CDD505-2E9C-101B-9397-08002B2CF9AE}" pid="69" name="_ReviewingToolsShownOnce">
    <vt:lpwstr/>
  </property>
</Properties>
</file>