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18" documentId="8_{369AC369-3EC2-439D-B10D-FEA3BD2ECA09}" xr6:coauthVersionLast="47" xr6:coauthVersionMax="47" xr10:uidLastSave="{4AA45FA8-A0DC-4476-B6C3-AF79B81B4831}"/>
  <bookViews>
    <workbookView xWindow="-108" yWindow="-108" windowWidth="23256" windowHeight="12576" activeTab="4" xr2:uid="{4F50CB96-93CE-443D-8A33-1F706DE74BDA}"/>
  </bookViews>
  <sheets>
    <sheet name="Cover sheet" sheetId="27" r:id="rId1"/>
    <sheet name="Checks" sheetId="28" r:id="rId2"/>
    <sheet name="Inputs" sheetId="26" r:id="rId3"/>
    <sheet name="Calcs - Volume Scenarios" sheetId="8" r:id="rId4"/>
    <sheet name="Calcs - Price Scenarios" sheetId="11" r:id="rId5"/>
    <sheet name="Calcs - Price x Vol" sheetId="17" r:id="rId6"/>
    <sheet name="Calcs - Discounted cash flows" sheetId="20" r:id="rId7"/>
    <sheet name="Outputs" sheetId="5" r:id="rId8"/>
    <sheet name="Sensitivity (purchase timing)" sheetId="19" r:id="rId9"/>
    <sheet name="Sensitivity (discount rate +1%)" sheetId="22" r:id="rId10"/>
    <sheet name="Sensitivity (discount rate 8%)" sheetId="29" r:id="rId11"/>
    <sheet name="ARCHIVE" sheetId="30" r:id="rId12"/>
    <sheet name="Sensitivity (escalation)" sheetId="25" r:id="rId13"/>
  </sheets>
  <definedNames>
    <definedName name="myplace" localSheetId="7">Outputs!#REF!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9" i="26" l="1"/>
  <c r="J54" i="26"/>
  <c r="E40" i="11"/>
  <c r="J53" i="26"/>
  <c r="J52" i="26"/>
  <c r="J51" i="26"/>
  <c r="J50" i="26"/>
  <c r="D9" i="11"/>
  <c r="E15" i="11" s="1"/>
  <c r="E9" i="11"/>
  <c r="F9" i="11"/>
  <c r="G9" i="11"/>
  <c r="H9" i="11"/>
  <c r="I9" i="11" l="1"/>
  <c r="J9" i="11" s="1"/>
  <c r="E25" i="11"/>
  <c r="D15" i="28"/>
  <c r="D5" i="29"/>
  <c r="D5" i="22"/>
  <c r="F112" i="19"/>
  <c r="F95" i="19"/>
  <c r="F78" i="19"/>
  <c r="F60" i="19"/>
  <c r="F45" i="19"/>
  <c r="F30" i="19"/>
  <c r="F10" i="19"/>
  <c r="D7" i="19" a="1"/>
  <c r="D7" i="19" s="1"/>
  <c r="AG23" i="8"/>
  <c r="Z23" i="8"/>
  <c r="S23" i="8"/>
  <c r="D6" i="19" s="1"/>
  <c r="E8" i="19" s="1"/>
  <c r="L23" i="8"/>
  <c r="F5" i="5"/>
  <c r="G5" i="5"/>
  <c r="H5" i="5"/>
  <c r="I5" i="5"/>
  <c r="E5" i="5"/>
  <c r="D59" i="5"/>
  <c r="D50" i="5"/>
  <c r="D41" i="5"/>
  <c r="G62" i="5"/>
  <c r="E62" i="5"/>
  <c r="G53" i="5"/>
  <c r="E53" i="5"/>
  <c r="G44" i="5"/>
  <c r="E44" i="5"/>
  <c r="D32" i="5"/>
  <c r="G35" i="5"/>
  <c r="E35" i="5"/>
  <c r="G26" i="5"/>
  <c r="E26" i="5"/>
  <c r="AI28" i="20"/>
  <c r="AG28" i="20"/>
  <c r="AI43" i="20"/>
  <c r="AG43" i="20"/>
  <c r="AI58" i="20"/>
  <c r="AG58" i="20"/>
  <c r="AB58" i="20"/>
  <c r="Z58" i="20"/>
  <c r="AB43" i="20"/>
  <c r="Z43" i="20"/>
  <c r="AB28" i="20"/>
  <c r="Z28" i="20"/>
  <c r="U28" i="20"/>
  <c r="S28" i="20"/>
  <c r="U43" i="20"/>
  <c r="S43" i="20"/>
  <c r="U58" i="20"/>
  <c r="S58" i="20"/>
  <c r="N58" i="20"/>
  <c r="L58" i="20"/>
  <c r="N43" i="20"/>
  <c r="L43" i="20"/>
  <c r="N28" i="20"/>
  <c r="L28" i="20"/>
  <c r="G58" i="20"/>
  <c r="E58" i="20"/>
  <c r="G43" i="20"/>
  <c r="E43" i="20"/>
  <c r="G28" i="20"/>
  <c r="E28" i="20"/>
  <c r="AI6" i="17"/>
  <c r="AG6" i="17"/>
  <c r="AI21" i="17"/>
  <c r="AG21" i="17"/>
  <c r="AI36" i="17"/>
  <c r="AG36" i="17"/>
  <c r="AB36" i="17"/>
  <c r="Z36" i="17"/>
  <c r="AB21" i="17"/>
  <c r="Z21" i="17"/>
  <c r="AB6" i="17"/>
  <c r="Z6" i="17"/>
  <c r="U36" i="17"/>
  <c r="S36" i="17"/>
  <c r="U21" i="17"/>
  <c r="S21" i="17"/>
  <c r="U6" i="17"/>
  <c r="S6" i="17"/>
  <c r="N6" i="17"/>
  <c r="L6" i="17"/>
  <c r="N21" i="17"/>
  <c r="L21" i="17"/>
  <c r="N36" i="17"/>
  <c r="L36" i="17"/>
  <c r="G36" i="17"/>
  <c r="E36" i="17"/>
  <c r="G21" i="17"/>
  <c r="E21" i="17"/>
  <c r="G6" i="17"/>
  <c r="E6" i="17"/>
  <c r="D23" i="5"/>
  <c r="AF26" i="20"/>
  <c r="Y26" i="20"/>
  <c r="R26" i="20"/>
  <c r="K26" i="20"/>
  <c r="D26" i="20"/>
  <c r="F12" i="20"/>
  <c r="F14" i="20"/>
  <c r="F15" i="20"/>
  <c r="F17" i="20"/>
  <c r="F19" i="20"/>
  <c r="AF4" i="17"/>
  <c r="Y4" i="17"/>
  <c r="R4" i="17"/>
  <c r="K4" i="17"/>
  <c r="D4" i="17"/>
  <c r="I52" i="26"/>
  <c r="I50" i="26"/>
  <c r="D15" i="11"/>
  <c r="F15" i="11"/>
  <c r="H6" i="11"/>
  <c r="H7" i="11"/>
  <c r="H8" i="11"/>
  <c r="H5" i="11"/>
  <c r="D6" i="11"/>
  <c r="D7" i="11"/>
  <c r="D25" i="11" s="1"/>
  <c r="E10" i="19" s="1"/>
  <c r="D8" i="11"/>
  <c r="D5" i="11"/>
  <c r="F25" i="11" s="1"/>
  <c r="G8" i="11"/>
  <c r="F8" i="11"/>
  <c r="E8" i="11"/>
  <c r="E7" i="11"/>
  <c r="F40" i="11" s="1"/>
  <c r="F7" i="11"/>
  <c r="G7" i="11"/>
  <c r="G6" i="11"/>
  <c r="F6" i="11"/>
  <c r="E6" i="11"/>
  <c r="AA26" i="8"/>
  <c r="AB26" i="8"/>
  <c r="E23" i="8"/>
  <c r="E16" i="26"/>
  <c r="F19" i="26" s="1"/>
  <c r="G18" i="8" s="1"/>
  <c r="E39" i="26"/>
  <c r="E40" i="26" s="1"/>
  <c r="F7" i="5" s="1"/>
  <c r="F39" i="26"/>
  <c r="F40" i="26" s="1"/>
  <c r="S26" i="8" s="1"/>
  <c r="G39" i="26"/>
  <c r="G40" i="26" s="1"/>
  <c r="Z26" i="8" s="1"/>
  <c r="H39" i="26"/>
  <c r="H40" i="26" s="1"/>
  <c r="AH26" i="8" s="1"/>
  <c r="D40" i="26"/>
  <c r="D42" i="26" s="1"/>
  <c r="D13" i="28"/>
  <c r="D9" i="28"/>
  <c r="D8" i="28"/>
  <c r="D7" i="28"/>
  <c r="E138" i="26"/>
  <c r="E122" i="26"/>
  <c r="D103" i="26"/>
  <c r="D104" i="26"/>
  <c r="D105" i="26"/>
  <c r="D106" i="26"/>
  <c r="D102" i="26"/>
  <c r="I6" i="5" l="1"/>
  <c r="H6" i="5"/>
  <c r="L26" i="8"/>
  <c r="G6" i="5"/>
  <c r="N26" i="8"/>
  <c r="F6" i="5"/>
  <c r="M26" i="8"/>
  <c r="E6" i="5"/>
  <c r="E26" i="8"/>
  <c r="E30" i="19"/>
  <c r="E45" i="19"/>
  <c r="I7" i="5"/>
  <c r="H7" i="5"/>
  <c r="E78" i="19"/>
  <c r="U26" i="8"/>
  <c r="G7" i="5"/>
  <c r="E7" i="5"/>
  <c r="T26" i="8"/>
  <c r="E95" i="19"/>
  <c r="G26" i="8"/>
  <c r="F26" i="8"/>
  <c r="E60" i="19"/>
  <c r="E112" i="19"/>
  <c r="F15" i="8"/>
  <c r="F19" i="8"/>
  <c r="F18" i="8"/>
  <c r="AG26" i="8"/>
  <c r="F17" i="8"/>
  <c r="AI26" i="8"/>
  <c r="AJ26" i="8" s="1"/>
  <c r="F16" i="8"/>
  <c r="AA25" i="8" s="1"/>
  <c r="AA24" i="8" s="1"/>
  <c r="G45" i="19"/>
  <c r="G30" i="19"/>
  <c r="G60" i="19"/>
  <c r="G112" i="19"/>
  <c r="G78" i="19"/>
  <c r="G10" i="19"/>
  <c r="G95" i="19"/>
  <c r="E6" i="29"/>
  <c r="E6" i="22"/>
  <c r="E7" i="19"/>
  <c r="O26" i="8"/>
  <c r="F11" i="20"/>
  <c r="F16" i="20"/>
  <c r="F18" i="20"/>
  <c r="F10" i="20"/>
  <c r="F13" i="20"/>
  <c r="D17" i="11"/>
  <c r="I8" i="11"/>
  <c r="J8" i="11" s="1"/>
  <c r="D16" i="11" s="1"/>
  <c r="I7" i="11"/>
  <c r="J7" i="11" s="1"/>
  <c r="D32" i="11" s="1"/>
  <c r="AC26" i="8"/>
  <c r="I6" i="11"/>
  <c r="J6" i="11" s="1"/>
  <c r="M25" i="8"/>
  <c r="M27" i="8" s="1"/>
  <c r="AB25" i="8"/>
  <c r="F25" i="8"/>
  <c r="F24" i="8" s="1"/>
  <c r="F18" i="26"/>
  <c r="G17" i="8" s="1"/>
  <c r="F17" i="26"/>
  <c r="G16" i="8" s="1"/>
  <c r="D19" i="26"/>
  <c r="E18" i="8" s="1"/>
  <c r="D20" i="26"/>
  <c r="E19" i="8" s="1"/>
  <c r="F20" i="26"/>
  <c r="G19" i="8" s="1"/>
  <c r="D16" i="26"/>
  <c r="E15" i="8" s="1"/>
  <c r="D18" i="26"/>
  <c r="E17" i="8" s="1"/>
  <c r="D17" i="26"/>
  <c r="E16" i="8" s="1"/>
  <c r="F16" i="26"/>
  <c r="G15" i="8" s="1"/>
  <c r="N25" i="8" s="1"/>
  <c r="N24" i="8" s="1"/>
  <c r="E106" i="26"/>
  <c r="G1" i="26" s="1"/>
  <c r="AG25" i="8" l="1"/>
  <c r="AG27" i="8" s="1"/>
  <c r="G25" i="8"/>
  <c r="G24" i="8" s="1"/>
  <c r="U25" i="8"/>
  <c r="U24" i="8" s="1"/>
  <c r="V26" i="8"/>
  <c r="T25" i="8"/>
  <c r="H26" i="8"/>
  <c r="Z25" i="8"/>
  <c r="Z27" i="8" s="1"/>
  <c r="Z67" i="8" s="1"/>
  <c r="E25" i="8"/>
  <c r="E24" i="8" s="1"/>
  <c r="L25" i="8"/>
  <c r="L24" i="8" s="1"/>
  <c r="S25" i="8"/>
  <c r="S24" i="8" s="1"/>
  <c r="AH25" i="8"/>
  <c r="AH24" i="8" s="1"/>
  <c r="AI25" i="8"/>
  <c r="AI24" i="8" s="1"/>
  <c r="T27" i="8"/>
  <c r="T51" i="8" s="1"/>
  <c r="M24" i="8"/>
  <c r="G1" i="19"/>
  <c r="D10" i="28" s="1"/>
  <c r="AA27" i="8"/>
  <c r="AA63" i="8" s="1"/>
  <c r="T24" i="8"/>
  <c r="Z24" i="8"/>
  <c r="U27" i="8"/>
  <c r="U74" i="8" s="1"/>
  <c r="Z58" i="8"/>
  <c r="Z49" i="8"/>
  <c r="Z33" i="8"/>
  <c r="Z63" i="8"/>
  <c r="Z64" i="8"/>
  <c r="Z41" i="8"/>
  <c r="Z70" i="8"/>
  <c r="Z51" i="8"/>
  <c r="Z52" i="8"/>
  <c r="Z68" i="8"/>
  <c r="Z69" i="8"/>
  <c r="Z48" i="8"/>
  <c r="Z43" i="8"/>
  <c r="Z53" i="8"/>
  <c r="Z65" i="8"/>
  <c r="Z74" i="8"/>
  <c r="N27" i="8"/>
  <c r="N66" i="8" s="1"/>
  <c r="L27" i="8"/>
  <c r="D18" i="11"/>
  <c r="E27" i="8"/>
  <c r="E58" i="8" s="1"/>
  <c r="AG71" i="8"/>
  <c r="AG33" i="8"/>
  <c r="AG69" i="8"/>
  <c r="AG67" i="8"/>
  <c r="AG59" i="8"/>
  <c r="AG24" i="8"/>
  <c r="AB27" i="8"/>
  <c r="AB24" i="8"/>
  <c r="AG52" i="8"/>
  <c r="AG44" i="8"/>
  <c r="AG68" i="8"/>
  <c r="AG54" i="8"/>
  <c r="AG42" i="8"/>
  <c r="AG70" i="8"/>
  <c r="AG50" i="8"/>
  <c r="AG41" i="8"/>
  <c r="AG37" i="8"/>
  <c r="AG49" i="8"/>
  <c r="AG56" i="8"/>
  <c r="AG34" i="8"/>
  <c r="AG73" i="8"/>
  <c r="AG64" i="8"/>
  <c r="AG58" i="8"/>
  <c r="AG36" i="8"/>
  <c r="AG43" i="8"/>
  <c r="AG66" i="8"/>
  <c r="AG55" i="8"/>
  <c r="AG51" i="8"/>
  <c r="AG53" i="8"/>
  <c r="AG63" i="8"/>
  <c r="AG40" i="8"/>
  <c r="AG39" i="8"/>
  <c r="AG48" i="8"/>
  <c r="AG74" i="8"/>
  <c r="AG72" i="8"/>
  <c r="AG38" i="8"/>
  <c r="AG57" i="8"/>
  <c r="AG65" i="8"/>
  <c r="AG35" i="8"/>
  <c r="M67" i="8"/>
  <c r="M65" i="8"/>
  <c r="M38" i="8"/>
  <c r="M37" i="8"/>
  <c r="M55" i="8"/>
  <c r="M57" i="8"/>
  <c r="M36" i="8"/>
  <c r="M42" i="8"/>
  <c r="M59" i="8"/>
  <c r="M33" i="8"/>
  <c r="M40" i="8"/>
  <c r="M35" i="8"/>
  <c r="M70" i="8"/>
  <c r="M73" i="8"/>
  <c r="M68" i="8"/>
  <c r="M50" i="8"/>
  <c r="M71" i="8"/>
  <c r="M54" i="8"/>
  <c r="M51" i="8"/>
  <c r="M66" i="8"/>
  <c r="M49" i="8"/>
  <c r="M64" i="8"/>
  <c r="M72" i="8"/>
  <c r="M43" i="8"/>
  <c r="M69" i="8"/>
  <c r="M58" i="8"/>
  <c r="M56" i="8"/>
  <c r="M48" i="8"/>
  <c r="M63" i="8"/>
  <c r="M34" i="8"/>
  <c r="M44" i="8"/>
  <c r="M53" i="8"/>
  <c r="M41" i="8"/>
  <c r="M39" i="8"/>
  <c r="M74" i="8"/>
  <c r="M52" i="8"/>
  <c r="D4" i="28"/>
  <c r="E8" i="20"/>
  <c r="E9" i="20" s="1"/>
  <c r="E10" i="20" s="1"/>
  <c r="E11" i="20" s="1"/>
  <c r="E12" i="20" s="1"/>
  <c r="E13" i="20" s="1"/>
  <c r="E14" i="20" s="1"/>
  <c r="E15" i="20" s="1"/>
  <c r="E16" i="20" s="1"/>
  <c r="E17" i="20" s="1"/>
  <c r="E18" i="20" s="1"/>
  <c r="E19" i="20" s="1"/>
  <c r="G5" i="8"/>
  <c r="F5" i="11"/>
  <c r="E5" i="11"/>
  <c r="G5" i="11"/>
  <c r="I5" i="11" s="1"/>
  <c r="F11" i="8"/>
  <c r="F12" i="8"/>
  <c r="F13" i="8"/>
  <c r="F14" i="8"/>
  <c r="F10" i="8"/>
  <c r="F7" i="8"/>
  <c r="F8" i="8"/>
  <c r="F9" i="8"/>
  <c r="F6" i="8"/>
  <c r="G6" i="8"/>
  <c r="G7" i="8"/>
  <c r="G8" i="8"/>
  <c r="G9" i="8"/>
  <c r="G10" i="8"/>
  <c r="G11" i="8"/>
  <c r="G12" i="8"/>
  <c r="G13" i="8"/>
  <c r="G14" i="8"/>
  <c r="F5" i="8"/>
  <c r="E6" i="8"/>
  <c r="E7" i="8"/>
  <c r="E8" i="8"/>
  <c r="E9" i="8"/>
  <c r="E10" i="8"/>
  <c r="E11" i="8"/>
  <c r="E12" i="8"/>
  <c r="E13" i="8"/>
  <c r="E14" i="8"/>
  <c r="E5" i="8"/>
  <c r="T67" i="8" l="1"/>
  <c r="T59" i="8"/>
  <c r="Z72" i="8"/>
  <c r="Z50" i="8"/>
  <c r="Z54" i="8"/>
  <c r="Z57" i="8"/>
  <c r="L65" i="8"/>
  <c r="L40" i="8"/>
  <c r="Z38" i="8"/>
  <c r="S27" i="8"/>
  <c r="S66" i="8" s="1"/>
  <c r="Z40" i="8"/>
  <c r="Z56" i="8"/>
  <c r="Z73" i="8"/>
  <c r="AH27" i="8"/>
  <c r="AH43" i="8" s="1"/>
  <c r="Z37" i="8"/>
  <c r="Z35" i="8"/>
  <c r="T49" i="8"/>
  <c r="T38" i="8"/>
  <c r="Z39" i="8"/>
  <c r="Z36" i="8"/>
  <c r="T36" i="8"/>
  <c r="T35" i="8"/>
  <c r="T50" i="8"/>
  <c r="T42" i="8"/>
  <c r="AI27" i="8"/>
  <c r="AI72" i="8" s="1"/>
  <c r="Z44" i="8"/>
  <c r="Z59" i="8"/>
  <c r="T73" i="8"/>
  <c r="Z71" i="8"/>
  <c r="Z55" i="8"/>
  <c r="T58" i="8"/>
  <c r="T72" i="8"/>
  <c r="J5" i="11"/>
  <c r="F16" i="11" s="1"/>
  <c r="Z42" i="8"/>
  <c r="Z34" i="8"/>
  <c r="T57" i="8"/>
  <c r="T48" i="8"/>
  <c r="T53" i="8"/>
  <c r="F17" i="11"/>
  <c r="E17" i="11" s="1"/>
  <c r="D40" i="11"/>
  <c r="Z66" i="8"/>
  <c r="T34" i="8"/>
  <c r="D19" i="11"/>
  <c r="T37" i="8"/>
  <c r="T40" i="8"/>
  <c r="AH59" i="8"/>
  <c r="T64" i="8"/>
  <c r="T71" i="8"/>
  <c r="T39" i="8"/>
  <c r="T56" i="8"/>
  <c r="T54" i="8"/>
  <c r="T68" i="8"/>
  <c r="T52" i="8"/>
  <c r="T65" i="8"/>
  <c r="T43" i="8"/>
  <c r="AH36" i="8"/>
  <c r="AH58" i="8"/>
  <c r="T66" i="8"/>
  <c r="T41" i="8"/>
  <c r="T33" i="8"/>
  <c r="T63" i="8"/>
  <c r="T44" i="8"/>
  <c r="T69" i="8"/>
  <c r="T55" i="8"/>
  <c r="AH41" i="8"/>
  <c r="T70" i="8"/>
  <c r="T74" i="8"/>
  <c r="E8" i="5"/>
  <c r="I8" i="5"/>
  <c r="H8" i="5"/>
  <c r="F8" i="5"/>
  <c r="G8" i="5"/>
  <c r="E67" i="8"/>
  <c r="AA66" i="8"/>
  <c r="AA50" i="8"/>
  <c r="AA74" i="8"/>
  <c r="AA53" i="8"/>
  <c r="AA42" i="8"/>
  <c r="AA56" i="8"/>
  <c r="AA64" i="8"/>
  <c r="AA48" i="8"/>
  <c r="N34" i="8"/>
  <c r="E44" i="8"/>
  <c r="E70" i="8"/>
  <c r="E71" i="8"/>
  <c r="E68" i="8"/>
  <c r="AA70" i="8"/>
  <c r="AA40" i="8"/>
  <c r="S38" i="8"/>
  <c r="S64" i="8"/>
  <c r="E72" i="8"/>
  <c r="AA33" i="8"/>
  <c r="AA54" i="8"/>
  <c r="E59" i="8"/>
  <c r="AA57" i="8"/>
  <c r="AA73" i="8"/>
  <c r="L44" i="8"/>
  <c r="E43" i="8"/>
  <c r="AA65" i="8"/>
  <c r="AA41" i="8"/>
  <c r="S48" i="8"/>
  <c r="AH68" i="8"/>
  <c r="AH40" i="8"/>
  <c r="AH49" i="8"/>
  <c r="L71" i="8"/>
  <c r="E55" i="8"/>
  <c r="AA44" i="8"/>
  <c r="AA49" i="8"/>
  <c r="S55" i="8"/>
  <c r="L50" i="8"/>
  <c r="E66" i="8"/>
  <c r="AA52" i="8"/>
  <c r="AA36" i="8"/>
  <c r="N42" i="8"/>
  <c r="AA43" i="8"/>
  <c r="AA37" i="8"/>
  <c r="AA51" i="8"/>
  <c r="AA69" i="8"/>
  <c r="S71" i="8"/>
  <c r="S33" i="8"/>
  <c r="S34" i="8"/>
  <c r="AA68" i="8"/>
  <c r="E57" i="8"/>
  <c r="AA71" i="8"/>
  <c r="AA72" i="8"/>
  <c r="N37" i="8"/>
  <c r="AA59" i="8"/>
  <c r="AA38" i="8"/>
  <c r="AA67" i="8"/>
  <c r="U63" i="8"/>
  <c r="AA39" i="8"/>
  <c r="S36" i="8"/>
  <c r="AA34" i="8"/>
  <c r="AA55" i="8"/>
  <c r="S68" i="8"/>
  <c r="U66" i="8"/>
  <c r="S54" i="8"/>
  <c r="N35" i="8"/>
  <c r="AA35" i="8"/>
  <c r="AA58" i="8"/>
  <c r="U69" i="8"/>
  <c r="U70" i="8"/>
  <c r="U55" i="8"/>
  <c r="U35" i="8"/>
  <c r="U68" i="8"/>
  <c r="U67" i="8"/>
  <c r="U41" i="8"/>
  <c r="U48" i="8"/>
  <c r="U43" i="8"/>
  <c r="U56" i="8"/>
  <c r="U58" i="8"/>
  <c r="U44" i="8"/>
  <c r="U57" i="8"/>
  <c r="U42" i="8"/>
  <c r="U37" i="8"/>
  <c r="U50" i="8"/>
  <c r="U59" i="8"/>
  <c r="U51" i="8"/>
  <c r="U52" i="8"/>
  <c r="U64" i="8"/>
  <c r="U33" i="8"/>
  <c r="U49" i="8"/>
  <c r="U53" i="8"/>
  <c r="U34" i="8"/>
  <c r="U39" i="8"/>
  <c r="U65" i="8"/>
  <c r="U40" i="8"/>
  <c r="U36" i="8"/>
  <c r="U73" i="8"/>
  <c r="U71" i="8"/>
  <c r="L66" i="8"/>
  <c r="L39" i="8"/>
  <c r="L72" i="8"/>
  <c r="L56" i="8"/>
  <c r="L53" i="8"/>
  <c r="L43" i="8"/>
  <c r="L36" i="8"/>
  <c r="L69" i="8"/>
  <c r="L34" i="8"/>
  <c r="L57" i="8"/>
  <c r="U54" i="8"/>
  <c r="U38" i="8"/>
  <c r="U72" i="8"/>
  <c r="N64" i="8"/>
  <c r="N56" i="8"/>
  <c r="N74" i="8"/>
  <c r="N72" i="8"/>
  <c r="N33" i="8"/>
  <c r="E69" i="8"/>
  <c r="E37" i="8"/>
  <c r="E38" i="8"/>
  <c r="E40" i="8"/>
  <c r="E39" i="8"/>
  <c r="E41" i="8"/>
  <c r="N63" i="8"/>
  <c r="S74" i="8"/>
  <c r="S50" i="8"/>
  <c r="S41" i="8"/>
  <c r="L54" i="8"/>
  <c r="L67" i="8"/>
  <c r="N41" i="8"/>
  <c r="N69" i="8"/>
  <c r="N52" i="8"/>
  <c r="N53" i="8"/>
  <c r="N57" i="8"/>
  <c r="L70" i="8"/>
  <c r="L55" i="8"/>
  <c r="N51" i="8"/>
  <c r="N73" i="8"/>
  <c r="E74" i="8"/>
  <c r="E65" i="8"/>
  <c r="L35" i="8"/>
  <c r="N68" i="8"/>
  <c r="N49" i="8"/>
  <c r="L59" i="8"/>
  <c r="L37" i="8"/>
  <c r="L64" i="8"/>
  <c r="N38" i="8"/>
  <c r="N40" i="8"/>
  <c r="E42" i="8"/>
  <c r="L73" i="8"/>
  <c r="L42" i="8"/>
  <c r="N59" i="8"/>
  <c r="N44" i="8"/>
  <c r="E73" i="8"/>
  <c r="N70" i="8"/>
  <c r="L51" i="8"/>
  <c r="N65" i="8"/>
  <c r="L58" i="8"/>
  <c r="L52" i="8"/>
  <c r="L41" i="8"/>
  <c r="N50" i="8"/>
  <c r="N54" i="8"/>
  <c r="E63" i="8"/>
  <c r="L74" i="8"/>
  <c r="L49" i="8"/>
  <c r="N36" i="8"/>
  <c r="N55" i="8"/>
  <c r="E64" i="8"/>
  <c r="L63" i="8"/>
  <c r="N48" i="8"/>
  <c r="L38" i="8"/>
  <c r="N43" i="8"/>
  <c r="L48" i="8"/>
  <c r="N67" i="8"/>
  <c r="N58" i="8"/>
  <c r="L68" i="8"/>
  <c r="L33" i="8"/>
  <c r="N71" i="8"/>
  <c r="N39" i="8"/>
  <c r="E56" i="8"/>
  <c r="AB42" i="8"/>
  <c r="AB66" i="8"/>
  <c r="AB69" i="8"/>
  <c r="AB63" i="8"/>
  <c r="AB58" i="8"/>
  <c r="AB37" i="8"/>
  <c r="AB65" i="8"/>
  <c r="AB43" i="8"/>
  <c r="AB55" i="8"/>
  <c r="AB34" i="8"/>
  <c r="AB72" i="8"/>
  <c r="AB53" i="8"/>
  <c r="AB71" i="8"/>
  <c r="AB73" i="8"/>
  <c r="AB49" i="8"/>
  <c r="AB51" i="8"/>
  <c r="AB68" i="8"/>
  <c r="AB39" i="8"/>
  <c r="AB44" i="8"/>
  <c r="AB70" i="8"/>
  <c r="AB35" i="8"/>
  <c r="AB36" i="8"/>
  <c r="AB52" i="8"/>
  <c r="AB67" i="8"/>
  <c r="AB59" i="8"/>
  <c r="AB41" i="8"/>
  <c r="AB57" i="8"/>
  <c r="AB54" i="8"/>
  <c r="AB33" i="8"/>
  <c r="AB38" i="8"/>
  <c r="AB74" i="8"/>
  <c r="AB48" i="8"/>
  <c r="AB64" i="8"/>
  <c r="AB50" i="8"/>
  <c r="AB40" i="8"/>
  <c r="AB56" i="8"/>
  <c r="AI63" i="8"/>
  <c r="AI48" i="8"/>
  <c r="AI57" i="8"/>
  <c r="AI55" i="8"/>
  <c r="AI67" i="8"/>
  <c r="AI42" i="8"/>
  <c r="AI73" i="8"/>
  <c r="AI58" i="8"/>
  <c r="AI35" i="8"/>
  <c r="AI68" i="8"/>
  <c r="AI43" i="8"/>
  <c r="AI49" i="8"/>
  <c r="AI65" i="8"/>
  <c r="AI50" i="8"/>
  <c r="AI39" i="8"/>
  <c r="AI54" i="8"/>
  <c r="F8" i="20"/>
  <c r="F7" i="20"/>
  <c r="F9" i="20"/>
  <c r="E16" i="11" l="1"/>
  <c r="E18" i="11" s="1"/>
  <c r="E19" i="11" s="1"/>
  <c r="F18" i="11"/>
  <c r="F19" i="11" s="1"/>
  <c r="AH35" i="8"/>
  <c r="S37" i="8"/>
  <c r="AI33" i="8"/>
  <c r="AH70" i="8"/>
  <c r="AH50" i="8"/>
  <c r="AH53" i="8"/>
  <c r="AH34" i="8"/>
  <c r="AH37" i="8"/>
  <c r="AI56" i="8"/>
  <c r="S63" i="8"/>
  <c r="V74" i="8" s="1"/>
  <c r="AH42" i="8"/>
  <c r="AI52" i="8"/>
  <c r="S56" i="8"/>
  <c r="E11" i="19" s="1" a="1"/>
  <c r="AI74" i="8"/>
  <c r="AI36" i="8"/>
  <c r="AI40" i="8"/>
  <c r="S39" i="8"/>
  <c r="S73" i="8"/>
  <c r="S52" i="8"/>
  <c r="AH73" i="8"/>
  <c r="AH33" i="8"/>
  <c r="AH64" i="8"/>
  <c r="AI59" i="8"/>
  <c r="AI70" i="8"/>
  <c r="S42" i="8"/>
  <c r="V44" i="8" s="1"/>
  <c r="S43" i="8"/>
  <c r="AH48" i="8"/>
  <c r="AJ59" i="8" s="1"/>
  <c r="S51" i="8"/>
  <c r="V59" i="8" s="1"/>
  <c r="AH38" i="8"/>
  <c r="AH63" i="8"/>
  <c r="AJ74" i="8" s="1"/>
  <c r="AH39" i="8"/>
  <c r="AI71" i="8"/>
  <c r="S59" i="8"/>
  <c r="S65" i="8"/>
  <c r="AH72" i="8"/>
  <c r="S49" i="8"/>
  <c r="AH56" i="8"/>
  <c r="AH55" i="8"/>
  <c r="AH66" i="8"/>
  <c r="AH54" i="8"/>
  <c r="AI38" i="8"/>
  <c r="AI51" i="8"/>
  <c r="AI53" i="8"/>
  <c r="AI66" i="8"/>
  <c r="AI44" i="8"/>
  <c r="AI69" i="8"/>
  <c r="S57" i="8"/>
  <c r="S35" i="8"/>
  <c r="AH67" i="8"/>
  <c r="AH65" i="8"/>
  <c r="S72" i="8"/>
  <c r="AH71" i="8"/>
  <c r="AH51" i="8"/>
  <c r="AH69" i="8"/>
  <c r="AI64" i="8"/>
  <c r="AI34" i="8"/>
  <c r="AI41" i="8"/>
  <c r="S44" i="8"/>
  <c r="S67" i="8"/>
  <c r="S58" i="8"/>
  <c r="AH44" i="8"/>
  <c r="AH74" i="8"/>
  <c r="AH52" i="8"/>
  <c r="AI37" i="8"/>
  <c r="S69" i="8"/>
  <c r="S70" i="8"/>
  <c r="S53" i="8"/>
  <c r="S40" i="8"/>
  <c r="AH57" i="8"/>
  <c r="O59" i="8"/>
  <c r="O44" i="8"/>
  <c r="O74" i="8"/>
  <c r="AJ44" i="8"/>
  <c r="E13" i="17"/>
  <c r="E35" i="20" s="1"/>
  <c r="D5" i="25"/>
  <c r="D6" i="25" s="1"/>
  <c r="AC59" i="8"/>
  <c r="AC74" i="8"/>
  <c r="AC44" i="8"/>
  <c r="I8" i="20"/>
  <c r="I9" i="20" s="1"/>
  <c r="I10" i="20" s="1"/>
  <c r="I11" i="20" s="1"/>
  <c r="I12" i="20" s="1"/>
  <c r="I13" i="20" s="1"/>
  <c r="I14" i="20" s="1"/>
  <c r="I15" i="20" s="1"/>
  <c r="I16" i="20" s="1"/>
  <c r="I17" i="20" s="1"/>
  <c r="I18" i="20" s="1"/>
  <c r="I19" i="20" s="1"/>
  <c r="G8" i="20"/>
  <c r="G9" i="20" s="1"/>
  <c r="G10" i="20" s="1"/>
  <c r="G11" i="20" s="1"/>
  <c r="G12" i="20" s="1"/>
  <c r="G13" i="20" s="1"/>
  <c r="G14" i="20" s="1"/>
  <c r="G15" i="20" s="1"/>
  <c r="G16" i="20" s="1"/>
  <c r="G17" i="20" s="1"/>
  <c r="G18" i="20" s="1"/>
  <c r="G19" i="20" s="1"/>
  <c r="L13" i="17"/>
  <c r="L35" i="20" s="1"/>
  <c r="AG43" i="17" l="1"/>
  <c r="AG65" i="20" s="1"/>
  <c r="S13" i="17"/>
  <c r="S35" i="20" s="1"/>
  <c r="L43" i="17"/>
  <c r="L65" i="20" s="1"/>
  <c r="S43" i="17"/>
  <c r="S65" i="20" s="1"/>
  <c r="D33" i="11"/>
  <c r="AG13" i="17"/>
  <c r="AG35" i="20" s="1"/>
  <c r="S28" i="17"/>
  <c r="S50" i="20" s="1"/>
  <c r="L28" i="17"/>
  <c r="L50" i="20" s="1"/>
  <c r="Z13" i="17"/>
  <c r="Z35" i="20" s="1"/>
  <c r="Z28" i="17"/>
  <c r="Z50" i="20" s="1"/>
  <c r="Z43" i="17"/>
  <c r="Z65" i="20" s="1"/>
  <c r="AG28" i="17"/>
  <c r="AG50" i="20" s="1"/>
  <c r="AC24" i="8"/>
  <c r="AJ24" i="8"/>
  <c r="O24" i="8"/>
  <c r="V24" i="8"/>
  <c r="E11" i="19"/>
  <c r="E52" i="19"/>
  <c r="E102" i="19" s="1"/>
  <c r="E37" i="19"/>
  <c r="E85" i="19" s="1"/>
  <c r="E67" i="19"/>
  <c r="E119" i="19" s="1"/>
  <c r="D31" i="11"/>
  <c r="E51" i="19" s="1"/>
  <c r="E101" i="19" s="1"/>
  <c r="F32" i="11"/>
  <c r="G37" i="19" s="1"/>
  <c r="G85" i="19" s="1"/>
  <c r="E36" i="8"/>
  <c r="E52" i="8"/>
  <c r="E34" i="8"/>
  <c r="E50" i="8"/>
  <c r="E53" i="8"/>
  <c r="E48" i="8"/>
  <c r="E33" i="8"/>
  <c r="E35" i="8"/>
  <c r="E51" i="8"/>
  <c r="E54" i="8"/>
  <c r="E49" i="8"/>
  <c r="D17" i="25"/>
  <c r="G27" i="8"/>
  <c r="F17" i="25"/>
  <c r="E11" i="25"/>
  <c r="E12" i="25" s="1"/>
  <c r="F27" i="8"/>
  <c r="E68" i="19" l="1"/>
  <c r="E120" i="19" s="1"/>
  <c r="L14" i="17"/>
  <c r="E38" i="19"/>
  <c r="E86" i="19" s="1"/>
  <c r="E53" i="19"/>
  <c r="E103" i="19" s="1"/>
  <c r="E66" i="19"/>
  <c r="E118" i="19" s="1"/>
  <c r="D34" i="11"/>
  <c r="D35" i="11" s="1"/>
  <c r="AG14" i="17"/>
  <c r="AG36" i="20" s="1"/>
  <c r="S14" i="17"/>
  <c r="S36" i="20" s="1"/>
  <c r="L29" i="17"/>
  <c r="L51" i="20" s="1"/>
  <c r="S29" i="17"/>
  <c r="S51" i="20" s="1"/>
  <c r="Z14" i="17"/>
  <c r="Z36" i="20" s="1"/>
  <c r="AG29" i="17"/>
  <c r="AG51" i="20" s="1"/>
  <c r="S44" i="17"/>
  <c r="S66" i="20" s="1"/>
  <c r="AG44" i="17"/>
  <c r="AG66" i="20" s="1"/>
  <c r="L44" i="17"/>
  <c r="L66" i="20" s="1"/>
  <c r="Z44" i="17"/>
  <c r="Z66" i="20" s="1"/>
  <c r="E14" i="17"/>
  <c r="E36" i="20" s="1"/>
  <c r="Z29" i="17"/>
  <c r="Z51" i="20" s="1"/>
  <c r="L36" i="20"/>
  <c r="G52" i="19"/>
  <c r="G102" i="19" s="1"/>
  <c r="D30" i="11"/>
  <c r="AG12" i="17"/>
  <c r="AG34" i="20" s="1"/>
  <c r="L27" i="17"/>
  <c r="L49" i="20" s="1"/>
  <c r="Z12" i="17"/>
  <c r="Z34" i="20" s="1"/>
  <c r="S27" i="17"/>
  <c r="S49" i="20" s="1"/>
  <c r="S42" i="17"/>
  <c r="S64" i="20" s="1"/>
  <c r="E12" i="17"/>
  <c r="E34" i="20" s="1"/>
  <c r="S12" i="17"/>
  <c r="S34" i="20" s="1"/>
  <c r="L12" i="17"/>
  <c r="L34" i="20" s="1"/>
  <c r="L42" i="17"/>
  <c r="L64" i="20" s="1"/>
  <c r="AG27" i="17"/>
  <c r="AG49" i="20" s="1"/>
  <c r="Z27" i="17"/>
  <c r="Z49" i="20" s="1"/>
  <c r="Z42" i="17"/>
  <c r="Z64" i="20" s="1"/>
  <c r="AG42" i="17"/>
  <c r="AG64" i="20" s="1"/>
  <c r="E36" i="19"/>
  <c r="E84" i="19" s="1"/>
  <c r="F31" i="11"/>
  <c r="F30" i="11" s="1"/>
  <c r="F33" i="11"/>
  <c r="AB13" i="17"/>
  <c r="AB35" i="20" s="1"/>
  <c r="N28" i="17"/>
  <c r="N50" i="20" s="1"/>
  <c r="AI13" i="17"/>
  <c r="AI35" i="20" s="1"/>
  <c r="AI28" i="17"/>
  <c r="AI50" i="20" s="1"/>
  <c r="U28" i="17"/>
  <c r="U50" i="20" s="1"/>
  <c r="N43" i="17"/>
  <c r="N65" i="20" s="1"/>
  <c r="AB28" i="17"/>
  <c r="AB50" i="20" s="1"/>
  <c r="G13" i="17"/>
  <c r="G35" i="20" s="1"/>
  <c r="U13" i="17"/>
  <c r="U35" i="20" s="1"/>
  <c r="AI43" i="17"/>
  <c r="AI65" i="20" s="1"/>
  <c r="U43" i="17"/>
  <c r="U65" i="20" s="1"/>
  <c r="AB43" i="17"/>
  <c r="AB65" i="20" s="1"/>
  <c r="N13" i="17"/>
  <c r="N35" i="20" s="1"/>
  <c r="G67" i="19"/>
  <c r="G119" i="19" s="1"/>
  <c r="F36" i="8"/>
  <c r="F37" i="8"/>
  <c r="F38" i="8"/>
  <c r="F39" i="8"/>
  <c r="F67" i="8"/>
  <c r="F40" i="8"/>
  <c r="G37" i="8"/>
  <c r="G38" i="8"/>
  <c r="G39" i="8"/>
  <c r="G40" i="8"/>
  <c r="G55" i="8"/>
  <c r="G67" i="8"/>
  <c r="G43" i="8"/>
  <c r="G70" i="8"/>
  <c r="G56" i="8"/>
  <c r="G66" i="8"/>
  <c r="G42" i="8"/>
  <c r="G69" i="8"/>
  <c r="G71" i="8"/>
  <c r="G57" i="8"/>
  <c r="G58" i="8"/>
  <c r="G41" i="8"/>
  <c r="G68" i="8"/>
  <c r="G44" i="8"/>
  <c r="G72" i="8"/>
  <c r="G74" i="8"/>
  <c r="G59" i="8"/>
  <c r="G64" i="8"/>
  <c r="G65" i="8"/>
  <c r="G73" i="8"/>
  <c r="G63" i="8"/>
  <c r="F71" i="8"/>
  <c r="F57" i="8"/>
  <c r="F64" i="8"/>
  <c r="F72" i="8"/>
  <c r="F58" i="8"/>
  <c r="F41" i="8"/>
  <c r="F68" i="8"/>
  <c r="F55" i="8"/>
  <c r="F73" i="8"/>
  <c r="F66" i="8"/>
  <c r="F59" i="8"/>
  <c r="F44" i="8"/>
  <c r="F65" i="8"/>
  <c r="F74" i="8"/>
  <c r="F42" i="8"/>
  <c r="F43" i="8"/>
  <c r="F69" i="8"/>
  <c r="F63" i="8"/>
  <c r="F70" i="8"/>
  <c r="F56" i="8"/>
  <c r="D16" i="25"/>
  <c r="E28" i="25" s="1"/>
  <c r="E61" i="25" s="1"/>
  <c r="E13" i="25"/>
  <c r="G33" i="8"/>
  <c r="G49" i="8"/>
  <c r="G50" i="8"/>
  <c r="G36" i="8"/>
  <c r="G52" i="8"/>
  <c r="G34" i="8"/>
  <c r="G53" i="8"/>
  <c r="G35" i="8"/>
  <c r="G51" i="8"/>
  <c r="G54" i="8"/>
  <c r="G48" i="8"/>
  <c r="F54" i="8"/>
  <c r="F33" i="8"/>
  <c r="F49" i="8"/>
  <c r="F35" i="8"/>
  <c r="F52" i="8"/>
  <c r="F51" i="8"/>
  <c r="F34" i="8"/>
  <c r="F50" i="8"/>
  <c r="F53" i="8"/>
  <c r="F48" i="8"/>
  <c r="F16" i="25"/>
  <c r="G29" i="25"/>
  <c r="E86" i="25" s="1"/>
  <c r="E29" i="25"/>
  <c r="E62" i="25" s="1"/>
  <c r="F24" i="25"/>
  <c r="E69" i="25" s="1"/>
  <c r="D29" i="11" l="1"/>
  <c r="S26" i="17"/>
  <c r="S48" i="20" s="1"/>
  <c r="AG11" i="17"/>
  <c r="AG33" i="20" s="1"/>
  <c r="L26" i="17"/>
  <c r="L48" i="20" s="1"/>
  <c r="Z11" i="17"/>
  <c r="Z33" i="20" s="1"/>
  <c r="S11" i="17"/>
  <c r="S33" i="20" s="1"/>
  <c r="AG41" i="17"/>
  <c r="AG63" i="20" s="1"/>
  <c r="L11" i="17"/>
  <c r="L33" i="20" s="1"/>
  <c r="E11" i="17"/>
  <c r="E33" i="20" s="1"/>
  <c r="AG26" i="17"/>
  <c r="AG48" i="20" s="1"/>
  <c r="Z41" i="17"/>
  <c r="Z63" i="20" s="1"/>
  <c r="L41" i="17"/>
  <c r="L63" i="20" s="1"/>
  <c r="S41" i="17"/>
  <c r="S63" i="20" s="1"/>
  <c r="Z26" i="17"/>
  <c r="Z48" i="20" s="1"/>
  <c r="E35" i="19"/>
  <c r="E83" i="19" s="1"/>
  <c r="E65" i="19"/>
  <c r="E117" i="19" s="1"/>
  <c r="E50" i="19"/>
  <c r="E100" i="19" s="1"/>
  <c r="E31" i="17"/>
  <c r="E53" i="20" s="1"/>
  <c r="Z15" i="17"/>
  <c r="Z37" i="20" s="1"/>
  <c r="AG15" i="17"/>
  <c r="AG37" i="20" s="1"/>
  <c r="L30" i="17"/>
  <c r="L52" i="20" s="1"/>
  <c r="S30" i="17"/>
  <c r="S52" i="20" s="1"/>
  <c r="Z30" i="17"/>
  <c r="Z52" i="20" s="1"/>
  <c r="AG30" i="17"/>
  <c r="AG52" i="20" s="1"/>
  <c r="AG45" i="17"/>
  <c r="AG67" i="20" s="1"/>
  <c r="S15" i="17"/>
  <c r="S37" i="20" s="1"/>
  <c r="E15" i="17"/>
  <c r="E37" i="20" s="1"/>
  <c r="L15" i="17"/>
  <c r="L37" i="20" s="1"/>
  <c r="L45" i="17"/>
  <c r="L67" i="20" s="1"/>
  <c r="S45" i="17"/>
  <c r="S67" i="20" s="1"/>
  <c r="Z45" i="17"/>
  <c r="Z67" i="20" s="1"/>
  <c r="E39" i="19"/>
  <c r="E87" i="19" s="1"/>
  <c r="E69" i="19"/>
  <c r="E121" i="19" s="1"/>
  <c r="E54" i="19"/>
  <c r="E104" i="19" s="1"/>
  <c r="F34" i="11"/>
  <c r="N29" i="17"/>
  <c r="N51" i="20" s="1"/>
  <c r="U29" i="17"/>
  <c r="U51" i="20" s="1"/>
  <c r="U14" i="17"/>
  <c r="U36" i="20" s="1"/>
  <c r="AB14" i="17"/>
  <c r="AB36" i="20" s="1"/>
  <c r="AI14" i="17"/>
  <c r="AI36" i="20" s="1"/>
  <c r="N14" i="17"/>
  <c r="N36" i="20" s="1"/>
  <c r="N44" i="17"/>
  <c r="N66" i="20" s="1"/>
  <c r="AI29" i="17"/>
  <c r="AI51" i="20" s="1"/>
  <c r="AB44" i="17"/>
  <c r="AB66" i="20" s="1"/>
  <c r="AB29" i="17"/>
  <c r="AB51" i="20" s="1"/>
  <c r="AI44" i="17"/>
  <c r="AI66" i="20" s="1"/>
  <c r="U44" i="17"/>
  <c r="U66" i="20" s="1"/>
  <c r="G14" i="17"/>
  <c r="G36" i="20" s="1"/>
  <c r="G38" i="19"/>
  <c r="G86" i="19" s="1"/>
  <c r="G68" i="19"/>
  <c r="G120" i="19" s="1"/>
  <c r="G53" i="19"/>
  <c r="G103" i="19" s="1"/>
  <c r="AI27" i="17"/>
  <c r="AI49" i="20" s="1"/>
  <c r="U27" i="17"/>
  <c r="U49" i="20" s="1"/>
  <c r="N27" i="17"/>
  <c r="N49" i="20" s="1"/>
  <c r="AB12" i="17"/>
  <c r="AB34" i="20" s="1"/>
  <c r="AI12" i="17"/>
  <c r="AI34" i="20" s="1"/>
  <c r="AB42" i="17"/>
  <c r="AB64" i="20" s="1"/>
  <c r="U12" i="17"/>
  <c r="U34" i="20" s="1"/>
  <c r="N12" i="17"/>
  <c r="N34" i="20" s="1"/>
  <c r="AB27" i="17"/>
  <c r="AB49" i="20" s="1"/>
  <c r="N42" i="17"/>
  <c r="N64" i="20" s="1"/>
  <c r="AI42" i="17"/>
  <c r="AI64" i="20" s="1"/>
  <c r="G12" i="17"/>
  <c r="G34" i="20" s="1"/>
  <c r="U42" i="17"/>
  <c r="U64" i="20" s="1"/>
  <c r="G66" i="19"/>
  <c r="G118" i="19" s="1"/>
  <c r="G36" i="19"/>
  <c r="G84" i="19" s="1"/>
  <c r="G51" i="19"/>
  <c r="G101" i="19" s="1"/>
  <c r="F29" i="11"/>
  <c r="G25" i="17" s="1"/>
  <c r="G47" i="20" s="1"/>
  <c r="AI26" i="17"/>
  <c r="AI48" i="20" s="1"/>
  <c r="N26" i="17"/>
  <c r="N48" i="20" s="1"/>
  <c r="U26" i="17"/>
  <c r="U48" i="20" s="1"/>
  <c r="AI11" i="17"/>
  <c r="AI33" i="20" s="1"/>
  <c r="AB11" i="17"/>
  <c r="AB33" i="20" s="1"/>
  <c r="AB26" i="17"/>
  <c r="AB48" i="20" s="1"/>
  <c r="U11" i="17"/>
  <c r="U33" i="20" s="1"/>
  <c r="AB41" i="17"/>
  <c r="AB63" i="20" s="1"/>
  <c r="U41" i="17"/>
  <c r="U63" i="20" s="1"/>
  <c r="G11" i="17"/>
  <c r="G33" i="20" s="1"/>
  <c r="AI41" i="17"/>
  <c r="AI63" i="20" s="1"/>
  <c r="N11" i="17"/>
  <c r="N33" i="20" s="1"/>
  <c r="N41" i="17"/>
  <c r="N63" i="20" s="1"/>
  <c r="G50" i="19"/>
  <c r="G100" i="19" s="1"/>
  <c r="G65" i="19"/>
  <c r="G117" i="19" s="1"/>
  <c r="G35" i="19"/>
  <c r="G83" i="19" s="1"/>
  <c r="G27" i="17"/>
  <c r="G49" i="20" s="1"/>
  <c r="E27" i="17"/>
  <c r="E49" i="20" s="1"/>
  <c r="E40" i="17"/>
  <c r="E62" i="20" s="1"/>
  <c r="G45" i="17"/>
  <c r="G67" i="20" s="1"/>
  <c r="E45" i="17"/>
  <c r="E67" i="20" s="1"/>
  <c r="G30" i="17"/>
  <c r="G52" i="20" s="1"/>
  <c r="E30" i="17"/>
  <c r="E52" i="20" s="1"/>
  <c r="E26" i="17"/>
  <c r="E48" i="20" s="1"/>
  <c r="G26" i="17"/>
  <c r="G48" i="20" s="1"/>
  <c r="E25" i="17"/>
  <c r="E47" i="20" s="1"/>
  <c r="E41" i="17"/>
  <c r="E63" i="20" s="1"/>
  <c r="G41" i="17"/>
  <c r="G63" i="20" s="1"/>
  <c r="E46" i="17"/>
  <c r="E68" i="20" s="1"/>
  <c r="E28" i="17"/>
  <c r="E50" i="20" s="1"/>
  <c r="G28" i="17"/>
  <c r="G50" i="20" s="1"/>
  <c r="G29" i="17"/>
  <c r="G51" i="20" s="1"/>
  <c r="E29" i="17"/>
  <c r="E51" i="20" s="1"/>
  <c r="E44" i="17"/>
  <c r="E66" i="20" s="1"/>
  <c r="G44" i="17"/>
  <c r="G66" i="20" s="1"/>
  <c r="E43" i="17"/>
  <c r="E65" i="20" s="1"/>
  <c r="G43" i="17"/>
  <c r="G65" i="20" s="1"/>
  <c r="E42" i="17"/>
  <c r="E64" i="20" s="1"/>
  <c r="G42" i="17"/>
  <c r="G64" i="20" s="1"/>
  <c r="H44" i="8"/>
  <c r="H59" i="8"/>
  <c r="H74" i="8"/>
  <c r="E48" i="25"/>
  <c r="G61" i="25" s="1"/>
  <c r="F15" i="25"/>
  <c r="G47" i="25" s="1"/>
  <c r="G84" i="25" s="1"/>
  <c r="E14" i="25"/>
  <c r="D15" i="25"/>
  <c r="E37" i="25" s="1"/>
  <c r="F60" i="25" s="1"/>
  <c r="F34" i="25"/>
  <c r="F69" i="25" s="1"/>
  <c r="G48" i="25"/>
  <c r="G85" i="25" s="1"/>
  <c r="F33" i="25"/>
  <c r="F68" i="25" s="1"/>
  <c r="F23" i="25"/>
  <c r="E68" i="25" s="1"/>
  <c r="F43" i="25"/>
  <c r="G68" i="25" s="1"/>
  <c r="E49" i="25"/>
  <c r="G62" i="25" s="1"/>
  <c r="G49" i="25"/>
  <c r="G86" i="25" s="1"/>
  <c r="E39" i="25"/>
  <c r="F62" i="25" s="1"/>
  <c r="G39" i="25"/>
  <c r="F86" i="25" s="1"/>
  <c r="G28" i="25"/>
  <c r="E85" i="25" s="1"/>
  <c r="E38" i="25"/>
  <c r="F61" i="25" s="1"/>
  <c r="G38" i="25"/>
  <c r="F85" i="25" s="1"/>
  <c r="F44" i="25"/>
  <c r="G69" i="25" s="1"/>
  <c r="G40" i="17" l="1"/>
  <c r="G62" i="20" s="1"/>
  <c r="D36" i="11"/>
  <c r="Z16" i="17"/>
  <c r="Z38" i="20" s="1"/>
  <c r="L31" i="17"/>
  <c r="L53" i="20" s="1"/>
  <c r="S31" i="17"/>
  <c r="S53" i="20" s="1"/>
  <c r="Z31" i="17"/>
  <c r="Z53" i="20" s="1"/>
  <c r="AG16" i="17"/>
  <c r="AG38" i="20" s="1"/>
  <c r="S46" i="17"/>
  <c r="S68" i="20" s="1"/>
  <c r="L46" i="17"/>
  <c r="L68" i="20" s="1"/>
  <c r="E16" i="17"/>
  <c r="E38" i="20" s="1"/>
  <c r="Z46" i="17"/>
  <c r="Z68" i="20" s="1"/>
  <c r="AG31" i="17"/>
  <c r="AG53" i="20" s="1"/>
  <c r="S16" i="17"/>
  <c r="S38" i="20" s="1"/>
  <c r="L16" i="17"/>
  <c r="L38" i="20" s="1"/>
  <c r="AG46" i="17"/>
  <c r="AG68" i="20" s="1"/>
  <c r="E55" i="19"/>
  <c r="E105" i="19" s="1"/>
  <c r="E70" i="19"/>
  <c r="E122" i="19" s="1"/>
  <c r="E40" i="19"/>
  <c r="E88" i="19" s="1"/>
  <c r="D28" i="11"/>
  <c r="D27" i="11" s="1"/>
  <c r="Z10" i="17"/>
  <c r="Z32" i="20" s="1"/>
  <c r="S25" i="17"/>
  <c r="S47" i="20" s="1"/>
  <c r="AG25" i="17"/>
  <c r="AG47" i="20" s="1"/>
  <c r="L25" i="17"/>
  <c r="L47" i="20" s="1"/>
  <c r="AG10" i="17"/>
  <c r="AG32" i="20" s="1"/>
  <c r="AG40" i="17"/>
  <c r="AG62" i="20" s="1"/>
  <c r="L10" i="17"/>
  <c r="L32" i="20" s="1"/>
  <c r="Z25" i="17"/>
  <c r="Z47" i="20" s="1"/>
  <c r="Z40" i="17"/>
  <c r="Z62" i="20" s="1"/>
  <c r="L40" i="17"/>
  <c r="L62" i="20" s="1"/>
  <c r="S40" i="17"/>
  <c r="S62" i="20" s="1"/>
  <c r="S10" i="17"/>
  <c r="S32" i="20" s="1"/>
  <c r="E34" i="19"/>
  <c r="E82" i="19" s="1"/>
  <c r="E49" i="19"/>
  <c r="E99" i="19" s="1"/>
  <c r="E64" i="19"/>
  <c r="E116" i="19" s="1"/>
  <c r="E10" i="17"/>
  <c r="E32" i="20" s="1"/>
  <c r="F35" i="11"/>
  <c r="AI30" i="17"/>
  <c r="AI52" i="20" s="1"/>
  <c r="AI15" i="17"/>
  <c r="AI37" i="20" s="1"/>
  <c r="AB30" i="17"/>
  <c r="AB52" i="20" s="1"/>
  <c r="AB15" i="17"/>
  <c r="AB37" i="20" s="1"/>
  <c r="U30" i="17"/>
  <c r="U52" i="20" s="1"/>
  <c r="N30" i="17"/>
  <c r="N52" i="20" s="1"/>
  <c r="AI45" i="17"/>
  <c r="AI67" i="20" s="1"/>
  <c r="U45" i="17"/>
  <c r="U67" i="20" s="1"/>
  <c r="U15" i="17"/>
  <c r="U37" i="20" s="1"/>
  <c r="G15" i="17"/>
  <c r="G37" i="20" s="1"/>
  <c r="N45" i="17"/>
  <c r="N67" i="20" s="1"/>
  <c r="AB45" i="17"/>
  <c r="AB67" i="20" s="1"/>
  <c r="N15" i="17"/>
  <c r="N37" i="20" s="1"/>
  <c r="G39" i="19"/>
  <c r="G87" i="19" s="1"/>
  <c r="G69" i="19"/>
  <c r="G121" i="19" s="1"/>
  <c r="G54" i="19"/>
  <c r="G104" i="19" s="1"/>
  <c r="F28" i="11"/>
  <c r="N25" i="17"/>
  <c r="N47" i="20" s="1"/>
  <c r="AB10" i="17"/>
  <c r="AB32" i="20" s="1"/>
  <c r="AI10" i="17"/>
  <c r="AI32" i="20" s="1"/>
  <c r="U25" i="17"/>
  <c r="U47" i="20" s="1"/>
  <c r="AI25" i="17"/>
  <c r="AI47" i="20" s="1"/>
  <c r="U10" i="17"/>
  <c r="U32" i="20" s="1"/>
  <c r="N10" i="17"/>
  <c r="N32" i="20" s="1"/>
  <c r="N40" i="17"/>
  <c r="N62" i="20" s="1"/>
  <c r="AB25" i="17"/>
  <c r="AB47" i="20" s="1"/>
  <c r="AI40" i="17"/>
  <c r="AI62" i="20" s="1"/>
  <c r="AB40" i="17"/>
  <c r="AB62" i="20" s="1"/>
  <c r="U40" i="17"/>
  <c r="U62" i="20" s="1"/>
  <c r="G34" i="19"/>
  <c r="G82" i="19" s="1"/>
  <c r="G64" i="19"/>
  <c r="G116" i="19" s="1"/>
  <c r="G49" i="19"/>
  <c r="G99" i="19" s="1"/>
  <c r="G10" i="17"/>
  <c r="G32" i="20" s="1"/>
  <c r="H24" i="8"/>
  <c r="G1" i="8" s="1"/>
  <c r="D5" i="28" s="1"/>
  <c r="G27" i="25"/>
  <c r="E84" i="25" s="1"/>
  <c r="G37" i="25"/>
  <c r="F84" i="25" s="1"/>
  <c r="D14" i="25"/>
  <c r="E27" i="25"/>
  <c r="E60" i="25" s="1"/>
  <c r="E15" i="25"/>
  <c r="F14" i="25"/>
  <c r="E47" i="25"/>
  <c r="G60" i="25" s="1"/>
  <c r="F45" i="25"/>
  <c r="G70" i="25" s="1"/>
  <c r="F25" i="25"/>
  <c r="E70" i="25" s="1"/>
  <c r="F35" i="25"/>
  <c r="F70" i="25" s="1"/>
  <c r="Z9" i="17" l="1"/>
  <c r="Z31" i="20" s="1"/>
  <c r="AG9" i="17"/>
  <c r="AG31" i="20" s="1"/>
  <c r="L24" i="17"/>
  <c r="L46" i="20" s="1"/>
  <c r="S24" i="17"/>
  <c r="S46" i="20" s="1"/>
  <c r="Z39" i="17"/>
  <c r="Z61" i="20" s="1"/>
  <c r="S9" i="17"/>
  <c r="S31" i="20" s="1"/>
  <c r="Z24" i="17"/>
  <c r="Z46" i="20" s="1"/>
  <c r="AG24" i="17"/>
  <c r="AG46" i="20" s="1"/>
  <c r="L9" i="17"/>
  <c r="L31" i="20" s="1"/>
  <c r="L39" i="17"/>
  <c r="L61" i="20" s="1"/>
  <c r="AG39" i="17"/>
  <c r="AG61" i="20" s="1"/>
  <c r="S39" i="17"/>
  <c r="S61" i="20" s="1"/>
  <c r="E33" i="19"/>
  <c r="E81" i="19" s="1"/>
  <c r="E48" i="19"/>
  <c r="E98" i="19" s="1"/>
  <c r="E63" i="19"/>
  <c r="E115" i="19" s="1"/>
  <c r="E9" i="17"/>
  <c r="E31" i="20" s="1"/>
  <c r="E24" i="17"/>
  <c r="E46" i="20" s="1"/>
  <c r="E39" i="17"/>
  <c r="E61" i="20" s="1"/>
  <c r="D37" i="11"/>
  <c r="L32" i="17"/>
  <c r="L54" i="20" s="1"/>
  <c r="AG17" i="17"/>
  <c r="AG39" i="20" s="1"/>
  <c r="S32" i="17"/>
  <c r="S54" i="20" s="1"/>
  <c r="Z17" i="17"/>
  <c r="Z39" i="20" s="1"/>
  <c r="Z47" i="17"/>
  <c r="Z69" i="20" s="1"/>
  <c r="E17" i="17"/>
  <c r="E39" i="20" s="1"/>
  <c r="L47" i="17"/>
  <c r="L69" i="20" s="1"/>
  <c r="S17" i="17"/>
  <c r="S39" i="20" s="1"/>
  <c r="Z32" i="17"/>
  <c r="Z54" i="20" s="1"/>
  <c r="AG32" i="17"/>
  <c r="AG54" i="20" s="1"/>
  <c r="AG47" i="17"/>
  <c r="AG69" i="20" s="1"/>
  <c r="S47" i="17"/>
  <c r="S69" i="20" s="1"/>
  <c r="L17" i="17"/>
  <c r="L39" i="20" s="1"/>
  <c r="E71" i="19"/>
  <c r="E123" i="19" s="1"/>
  <c r="E56" i="19"/>
  <c r="E106" i="19" s="1"/>
  <c r="E41" i="19"/>
  <c r="E89" i="19" s="1"/>
  <c r="E47" i="17"/>
  <c r="E69" i="20" s="1"/>
  <c r="E32" i="17"/>
  <c r="E54" i="20" s="1"/>
  <c r="F27" i="11"/>
  <c r="N39" i="17"/>
  <c r="N61" i="20" s="1"/>
  <c r="N24" i="17"/>
  <c r="N46" i="20" s="1"/>
  <c r="AI9" i="17"/>
  <c r="AI31" i="20" s="1"/>
  <c r="AB9" i="17"/>
  <c r="AB31" i="20" s="1"/>
  <c r="AI24" i="17"/>
  <c r="AI46" i="20" s="1"/>
  <c r="U24" i="17"/>
  <c r="U46" i="20" s="1"/>
  <c r="AB39" i="17"/>
  <c r="AB61" i="20" s="1"/>
  <c r="AI39" i="17"/>
  <c r="AI61" i="20" s="1"/>
  <c r="U39" i="17"/>
  <c r="U61" i="20" s="1"/>
  <c r="N9" i="17"/>
  <c r="N31" i="20" s="1"/>
  <c r="U9" i="17"/>
  <c r="U31" i="20" s="1"/>
  <c r="AB24" i="17"/>
  <c r="AB46" i="20" s="1"/>
  <c r="G33" i="19"/>
  <c r="G81" i="19" s="1"/>
  <c r="G63" i="19"/>
  <c r="G115" i="19" s="1"/>
  <c r="G48" i="19"/>
  <c r="G98" i="19" s="1"/>
  <c r="G9" i="17"/>
  <c r="G31" i="20" s="1"/>
  <c r="G39" i="17"/>
  <c r="G61" i="20" s="1"/>
  <c r="G24" i="17"/>
  <c r="G46" i="20" s="1"/>
  <c r="F36" i="11"/>
  <c r="U31" i="17"/>
  <c r="U53" i="20" s="1"/>
  <c r="AB31" i="17"/>
  <c r="AB53" i="20" s="1"/>
  <c r="AI16" i="17"/>
  <c r="AI38" i="20" s="1"/>
  <c r="AB16" i="17"/>
  <c r="AB38" i="20" s="1"/>
  <c r="AI31" i="17"/>
  <c r="AI53" i="20" s="1"/>
  <c r="N46" i="17"/>
  <c r="N68" i="20" s="1"/>
  <c r="N31" i="17"/>
  <c r="N53" i="20" s="1"/>
  <c r="G16" i="17"/>
  <c r="G38" i="20" s="1"/>
  <c r="U16" i="17"/>
  <c r="U38" i="20" s="1"/>
  <c r="AB46" i="17"/>
  <c r="AB68" i="20" s="1"/>
  <c r="AI46" i="17"/>
  <c r="AI68" i="20" s="1"/>
  <c r="U46" i="17"/>
  <c r="U68" i="20" s="1"/>
  <c r="N16" i="17"/>
  <c r="N38" i="20" s="1"/>
  <c r="G55" i="19"/>
  <c r="G105" i="19" s="1"/>
  <c r="G40" i="19"/>
  <c r="G88" i="19" s="1"/>
  <c r="G70" i="19"/>
  <c r="G122" i="19" s="1"/>
  <c r="G31" i="17"/>
  <c r="G53" i="20" s="1"/>
  <c r="G46" i="17"/>
  <c r="G68" i="20" s="1"/>
  <c r="G46" i="25"/>
  <c r="G83" i="25" s="1"/>
  <c r="G36" i="25"/>
  <c r="F83" i="25" s="1"/>
  <c r="F13" i="25"/>
  <c r="G26" i="25"/>
  <c r="E83" i="25" s="1"/>
  <c r="E16" i="25"/>
  <c r="E46" i="25"/>
  <c r="G59" i="25" s="1"/>
  <c r="E36" i="25"/>
  <c r="F59" i="25" s="1"/>
  <c r="E26" i="25"/>
  <c r="E59" i="25" s="1"/>
  <c r="D13" i="25"/>
  <c r="F26" i="25"/>
  <c r="E71" i="25" s="1"/>
  <c r="F36" i="25"/>
  <c r="F71" i="25" s="1"/>
  <c r="F46" i="25"/>
  <c r="G71" i="25" s="1"/>
  <c r="D39" i="11" l="1"/>
  <c r="AG18" i="17"/>
  <c r="AG40" i="20" s="1"/>
  <c r="L33" i="17"/>
  <c r="L55" i="20" s="1"/>
  <c r="Z18" i="17"/>
  <c r="Z40" i="20" s="1"/>
  <c r="L48" i="17"/>
  <c r="L70" i="20" s="1"/>
  <c r="AG48" i="17"/>
  <c r="AG70" i="20" s="1"/>
  <c r="S48" i="17"/>
  <c r="S70" i="20" s="1"/>
  <c r="E18" i="17"/>
  <c r="E40" i="20" s="1"/>
  <c r="Z33" i="17"/>
  <c r="Z55" i="20" s="1"/>
  <c r="L18" i="17"/>
  <c r="L40" i="20" s="1"/>
  <c r="Z48" i="17"/>
  <c r="Z70" i="20" s="1"/>
  <c r="AG33" i="17"/>
  <c r="AG55" i="20" s="1"/>
  <c r="S18" i="17"/>
  <c r="S40" i="20" s="1"/>
  <c r="S33" i="17"/>
  <c r="S55" i="20" s="1"/>
  <c r="E42" i="19"/>
  <c r="E90" i="19" s="1"/>
  <c r="E57" i="19"/>
  <c r="E107" i="19" s="1"/>
  <c r="E72" i="19"/>
  <c r="E124" i="19" s="1"/>
  <c r="E33" i="17"/>
  <c r="E55" i="20" s="1"/>
  <c r="E48" i="17"/>
  <c r="E70" i="20" s="1"/>
  <c r="D26" i="11"/>
  <c r="L23" i="17"/>
  <c r="L45" i="20" s="1"/>
  <c r="AG8" i="17"/>
  <c r="AG30" i="20" s="1"/>
  <c r="S23" i="17"/>
  <c r="S45" i="20" s="1"/>
  <c r="Z8" i="17"/>
  <c r="Z30" i="20" s="1"/>
  <c r="AG23" i="17"/>
  <c r="AG45" i="20" s="1"/>
  <c r="S8" i="17"/>
  <c r="S30" i="20" s="1"/>
  <c r="Z38" i="17"/>
  <c r="Z60" i="20" s="1"/>
  <c r="AG38" i="17"/>
  <c r="AG60" i="20" s="1"/>
  <c r="L38" i="17"/>
  <c r="L60" i="20" s="1"/>
  <c r="S38" i="17"/>
  <c r="S60" i="20" s="1"/>
  <c r="L8" i="17"/>
  <c r="L30" i="20" s="1"/>
  <c r="Z23" i="17"/>
  <c r="Z45" i="20" s="1"/>
  <c r="E47" i="19"/>
  <c r="E97" i="19" s="1"/>
  <c r="E62" i="19"/>
  <c r="E114" i="19" s="1"/>
  <c r="E32" i="19"/>
  <c r="E80" i="19" s="1"/>
  <c r="E8" i="17"/>
  <c r="E23" i="17"/>
  <c r="E38" i="17"/>
  <c r="F37" i="11"/>
  <c r="AB17" i="17"/>
  <c r="AB39" i="20" s="1"/>
  <c r="N32" i="17"/>
  <c r="N54" i="20" s="1"/>
  <c r="U32" i="17"/>
  <c r="U54" i="20" s="1"/>
  <c r="AI32" i="17"/>
  <c r="AI54" i="20" s="1"/>
  <c r="AI17" i="17"/>
  <c r="AI39" i="20" s="1"/>
  <c r="N17" i="17"/>
  <c r="N39" i="20" s="1"/>
  <c r="N47" i="17"/>
  <c r="N69" i="20" s="1"/>
  <c r="AB47" i="17"/>
  <c r="AB69" i="20" s="1"/>
  <c r="AI47" i="17"/>
  <c r="AI69" i="20" s="1"/>
  <c r="G17" i="17"/>
  <c r="G39" i="20" s="1"/>
  <c r="U47" i="17"/>
  <c r="U69" i="20" s="1"/>
  <c r="U17" i="17"/>
  <c r="U39" i="20" s="1"/>
  <c r="AB32" i="17"/>
  <c r="AB54" i="20" s="1"/>
  <c r="G71" i="19"/>
  <c r="G123" i="19" s="1"/>
  <c r="G41" i="19"/>
  <c r="G89" i="19" s="1"/>
  <c r="G56" i="19"/>
  <c r="G106" i="19" s="1"/>
  <c r="G32" i="17"/>
  <c r="G54" i="20" s="1"/>
  <c r="G47" i="17"/>
  <c r="G69" i="20" s="1"/>
  <c r="F26" i="11"/>
  <c r="AI23" i="17"/>
  <c r="AI45" i="20" s="1"/>
  <c r="AI8" i="17"/>
  <c r="AI30" i="20" s="1"/>
  <c r="AB8" i="17"/>
  <c r="AB30" i="20" s="1"/>
  <c r="N23" i="17"/>
  <c r="N45" i="20" s="1"/>
  <c r="U23" i="17"/>
  <c r="U45" i="20" s="1"/>
  <c r="AB23" i="17"/>
  <c r="AB45" i="20" s="1"/>
  <c r="AB38" i="17"/>
  <c r="AB60" i="20" s="1"/>
  <c r="U38" i="17"/>
  <c r="U60" i="20" s="1"/>
  <c r="U8" i="17"/>
  <c r="U30" i="20" s="1"/>
  <c r="N8" i="17"/>
  <c r="N30" i="20" s="1"/>
  <c r="N38" i="17"/>
  <c r="N60" i="20" s="1"/>
  <c r="AI38" i="17"/>
  <c r="AI60" i="20" s="1"/>
  <c r="G47" i="19"/>
  <c r="G97" i="19" s="1"/>
  <c r="G62" i="19"/>
  <c r="G114" i="19" s="1"/>
  <c r="G32" i="19"/>
  <c r="G80" i="19" s="1"/>
  <c r="G8" i="17"/>
  <c r="G38" i="17"/>
  <c r="G23" i="17"/>
  <c r="D12" i="25"/>
  <c r="E35" i="25"/>
  <c r="F58" i="25" s="1"/>
  <c r="E45" i="25"/>
  <c r="G58" i="25" s="1"/>
  <c r="E25" i="25"/>
  <c r="E58" i="25" s="1"/>
  <c r="F12" i="25"/>
  <c r="G45" i="25"/>
  <c r="G82" i="25" s="1"/>
  <c r="G35" i="25"/>
  <c r="F82" i="25" s="1"/>
  <c r="G25" i="25"/>
  <c r="E82" i="25" s="1"/>
  <c r="E17" i="25"/>
  <c r="F47" i="25"/>
  <c r="G72" i="25" s="1"/>
  <c r="F37" i="25"/>
  <c r="F72" i="25" s="1"/>
  <c r="F27" i="25"/>
  <c r="E72" i="25" s="1"/>
  <c r="AG7" i="17" l="1"/>
  <c r="L22" i="17"/>
  <c r="Z7" i="17"/>
  <c r="AG22" i="17"/>
  <c r="L7" i="17"/>
  <c r="AG37" i="17"/>
  <c r="Z22" i="17"/>
  <c r="Z37" i="17"/>
  <c r="S37" i="17"/>
  <c r="S7" i="17"/>
  <c r="S22" i="17"/>
  <c r="L37" i="17"/>
  <c r="E61" i="19"/>
  <c r="E46" i="19"/>
  <c r="E31" i="19"/>
  <c r="E7" i="17"/>
  <c r="E22" i="17"/>
  <c r="E37" i="17"/>
  <c r="AB7" i="17"/>
  <c r="N22" i="17"/>
  <c r="AI7" i="17"/>
  <c r="U22" i="17"/>
  <c r="AI22" i="17"/>
  <c r="AI37" i="17"/>
  <c r="U37" i="17"/>
  <c r="AB37" i="17"/>
  <c r="N7" i="17"/>
  <c r="U7" i="17"/>
  <c r="AB22" i="17"/>
  <c r="N37" i="17"/>
  <c r="G46" i="19"/>
  <c r="G61" i="19"/>
  <c r="G31" i="19"/>
  <c r="G7" i="17"/>
  <c r="G37" i="17"/>
  <c r="G22" i="17"/>
  <c r="F39" i="11"/>
  <c r="U33" i="17"/>
  <c r="U55" i="20" s="1"/>
  <c r="N33" i="17"/>
  <c r="N55" i="20" s="1"/>
  <c r="AI18" i="17"/>
  <c r="AI40" i="20" s="1"/>
  <c r="AB18" i="17"/>
  <c r="AB40" i="20" s="1"/>
  <c r="U48" i="17"/>
  <c r="U70" i="20" s="1"/>
  <c r="AI48" i="17"/>
  <c r="AI70" i="20" s="1"/>
  <c r="AI33" i="17"/>
  <c r="AI55" i="20" s="1"/>
  <c r="N48" i="17"/>
  <c r="N70" i="20" s="1"/>
  <c r="U18" i="17"/>
  <c r="U40" i="20" s="1"/>
  <c r="N18" i="17"/>
  <c r="N40" i="20" s="1"/>
  <c r="AB48" i="17"/>
  <c r="AB70" i="20" s="1"/>
  <c r="G18" i="17"/>
  <c r="G40" i="20" s="1"/>
  <c r="AB33" i="17"/>
  <c r="AB55" i="20" s="1"/>
  <c r="G57" i="19"/>
  <c r="G107" i="19" s="1"/>
  <c r="G42" i="19"/>
  <c r="G90" i="19" s="1"/>
  <c r="G72" i="19"/>
  <c r="G124" i="19" s="1"/>
  <c r="G48" i="17"/>
  <c r="G70" i="20" s="1"/>
  <c r="G33" i="17"/>
  <c r="G55" i="20" s="1"/>
  <c r="F11" i="25"/>
  <c r="G34" i="25"/>
  <c r="F81" i="25" s="1"/>
  <c r="G44" i="25"/>
  <c r="G81" i="25" s="1"/>
  <c r="G24" i="25"/>
  <c r="E81" i="25" s="1"/>
  <c r="E44" i="25"/>
  <c r="G57" i="25" s="1"/>
  <c r="D11" i="25"/>
  <c r="E24" i="25"/>
  <c r="E57" i="25" s="1"/>
  <c r="E34" i="25"/>
  <c r="F57" i="25" s="1"/>
  <c r="F28" i="25"/>
  <c r="E73" i="25" s="1"/>
  <c r="F38" i="25"/>
  <c r="F73" i="25" s="1"/>
  <c r="F48" i="25"/>
  <c r="G73" i="25" s="1"/>
  <c r="E45" i="20"/>
  <c r="G45" i="20"/>
  <c r="G30" i="20"/>
  <c r="E30" i="20"/>
  <c r="G60" i="20"/>
  <c r="E60" i="20"/>
  <c r="G1" i="11" l="1"/>
  <c r="D6" i="28" s="1"/>
  <c r="Z44" i="20"/>
  <c r="Z56" i="20" s="1"/>
  <c r="E55" i="5" s="1"/>
  <c r="Z34" i="17"/>
  <c r="E79" i="19"/>
  <c r="E91" i="19" s="1"/>
  <c r="E43" i="19"/>
  <c r="E113" i="19"/>
  <c r="E125" i="19" s="1"/>
  <c r="E73" i="19"/>
  <c r="AG49" i="17"/>
  <c r="AG59" i="20"/>
  <c r="AG71" i="20" s="1"/>
  <c r="E65" i="5" s="1"/>
  <c r="L59" i="20"/>
  <c r="L71" i="20" s="1"/>
  <c r="E38" i="5" s="1"/>
  <c r="L49" i="17"/>
  <c r="S34" i="17"/>
  <c r="S44" i="20"/>
  <c r="S56" i="20" s="1"/>
  <c r="E46" i="5" s="1"/>
  <c r="L29" i="20"/>
  <c r="L41" i="20" s="1"/>
  <c r="E36" i="5" s="1"/>
  <c r="L19" i="17"/>
  <c r="E96" i="19"/>
  <c r="E108" i="19" s="1"/>
  <c r="E109" i="19" s="1"/>
  <c r="E110" i="19" s="1"/>
  <c r="E58" i="19"/>
  <c r="S59" i="20"/>
  <c r="S71" i="20" s="1"/>
  <c r="E47" i="5" s="1"/>
  <c r="S49" i="17"/>
  <c r="Z49" i="17"/>
  <c r="Z59" i="20"/>
  <c r="Z71" i="20" s="1"/>
  <c r="E56" i="5" s="1"/>
  <c r="AG44" i="20"/>
  <c r="AG56" i="20" s="1"/>
  <c r="E64" i="5" s="1"/>
  <c r="AG34" i="17"/>
  <c r="Z29" i="20"/>
  <c r="Z41" i="20" s="1"/>
  <c r="E54" i="5" s="1"/>
  <c r="Z19" i="17"/>
  <c r="L34" i="17"/>
  <c r="L44" i="20"/>
  <c r="L56" i="20" s="1"/>
  <c r="E37" i="5" s="1"/>
  <c r="S29" i="20"/>
  <c r="S41" i="20" s="1"/>
  <c r="E45" i="5" s="1"/>
  <c r="S19" i="17"/>
  <c r="AG29" i="20"/>
  <c r="AG41" i="20" s="1"/>
  <c r="E63" i="5" s="1"/>
  <c r="AG19" i="17"/>
  <c r="N59" i="20"/>
  <c r="N71" i="20" s="1"/>
  <c r="G38" i="5" s="1"/>
  <c r="N49" i="17"/>
  <c r="AI19" i="17"/>
  <c r="AI29" i="20"/>
  <c r="AI41" i="20" s="1"/>
  <c r="G63" i="5" s="1"/>
  <c r="G58" i="19"/>
  <c r="G96" i="19"/>
  <c r="G108" i="19" s="1"/>
  <c r="N44" i="20"/>
  <c r="N56" i="20" s="1"/>
  <c r="G37" i="5" s="1"/>
  <c r="N34" i="17"/>
  <c r="AB19" i="17"/>
  <c r="AB29" i="20"/>
  <c r="AB41" i="20" s="1"/>
  <c r="G54" i="5" s="1"/>
  <c r="U29" i="20"/>
  <c r="U41" i="20" s="1"/>
  <c r="G45" i="5" s="1"/>
  <c r="U19" i="17"/>
  <c r="U59" i="20"/>
  <c r="U71" i="20" s="1"/>
  <c r="G47" i="5" s="1"/>
  <c r="U49" i="17"/>
  <c r="U34" i="17"/>
  <c r="U44" i="20"/>
  <c r="U56" i="20" s="1"/>
  <c r="G46" i="5" s="1"/>
  <c r="AB44" i="20"/>
  <c r="AB56" i="20" s="1"/>
  <c r="G55" i="5" s="1"/>
  <c r="AB34" i="17"/>
  <c r="N29" i="20"/>
  <c r="N41" i="20" s="1"/>
  <c r="G36" i="5" s="1"/>
  <c r="N19" i="17"/>
  <c r="AI59" i="20"/>
  <c r="AI71" i="20" s="1"/>
  <c r="G65" i="5" s="1"/>
  <c r="AI49" i="17"/>
  <c r="G79" i="19"/>
  <c r="G91" i="19" s="1"/>
  <c r="G43" i="19"/>
  <c r="AB59" i="20"/>
  <c r="AB71" i="20" s="1"/>
  <c r="G56" i="5" s="1"/>
  <c r="AB49" i="17"/>
  <c r="AI44" i="20"/>
  <c r="AI56" i="20" s="1"/>
  <c r="G64" i="5" s="1"/>
  <c r="AI34" i="17"/>
  <c r="G73" i="19"/>
  <c r="G113" i="19"/>
  <c r="G125" i="19" s="1"/>
  <c r="E43" i="25"/>
  <c r="E33" i="25"/>
  <c r="E23" i="25"/>
  <c r="G33" i="25"/>
  <c r="G23" i="25"/>
  <c r="G43" i="25"/>
  <c r="F29" i="25"/>
  <c r="F49" i="25"/>
  <c r="F39" i="25"/>
  <c r="G29" i="20"/>
  <c r="G41" i="20" s="1"/>
  <c r="G27" i="5" s="1"/>
  <c r="G44" i="20"/>
  <c r="G56" i="20" s="1"/>
  <c r="G59" i="20"/>
  <c r="G71" i="20" s="1"/>
  <c r="G28" i="5" s="1"/>
  <c r="G49" i="17"/>
  <c r="E59" i="20"/>
  <c r="E71" i="20" s="1"/>
  <c r="E28" i="5" s="1"/>
  <c r="E49" i="17"/>
  <c r="G34" i="17"/>
  <c r="E29" i="20"/>
  <c r="E41" i="20" s="1"/>
  <c r="E19" i="17"/>
  <c r="E44" i="20"/>
  <c r="E56" i="20" s="1"/>
  <c r="E29" i="5" s="1"/>
  <c r="E34" i="17"/>
  <c r="G19" i="17"/>
  <c r="E126" i="19" l="1"/>
  <c r="E127" i="19" s="1"/>
  <c r="G109" i="19"/>
  <c r="G110" i="19" s="1"/>
  <c r="E92" i="19"/>
  <c r="E93" i="19" s="1"/>
  <c r="G126" i="19"/>
  <c r="G127" i="19" s="1"/>
  <c r="G92" i="19"/>
  <c r="G93" i="19" s="1"/>
  <c r="G29" i="5"/>
  <c r="F80" i="25"/>
  <c r="F87" i="25" s="1"/>
  <c r="F88" i="25" s="1"/>
  <c r="F89" i="25" s="1"/>
  <c r="G40" i="25"/>
  <c r="E56" i="25"/>
  <c r="E63" i="25" s="1"/>
  <c r="E64" i="25" s="1"/>
  <c r="E65" i="25" s="1"/>
  <c r="E30" i="25"/>
  <c r="F56" i="25"/>
  <c r="F63" i="25" s="1"/>
  <c r="F64" i="25" s="1"/>
  <c r="F65" i="25" s="1"/>
  <c r="E40" i="25"/>
  <c r="G80" i="25"/>
  <c r="G87" i="25" s="1"/>
  <c r="G88" i="25" s="1"/>
  <c r="G89" i="25" s="1"/>
  <c r="G50" i="25"/>
  <c r="G56" i="25"/>
  <c r="G63" i="25" s="1"/>
  <c r="G64" i="25" s="1"/>
  <c r="G65" i="25" s="1"/>
  <c r="E50" i="25"/>
  <c r="E80" i="25"/>
  <c r="E87" i="25" s="1"/>
  <c r="E88" i="25" s="1"/>
  <c r="E89" i="25" s="1"/>
  <c r="G30" i="25"/>
  <c r="F74" i="25"/>
  <c r="F75" i="25" s="1"/>
  <c r="F40" i="25"/>
  <c r="G74" i="25"/>
  <c r="G75" i="25" s="1"/>
  <c r="F50" i="25"/>
  <c r="E74" i="25"/>
  <c r="E75" i="25" s="1"/>
  <c r="F30" i="25"/>
  <c r="E27" i="5"/>
  <c r="E93" i="25" l="1"/>
  <c r="AA37" i="17"/>
  <c r="AA59" i="20" s="1"/>
  <c r="AH7" i="17"/>
  <c r="AH29" i="20" s="1"/>
  <c r="T7" i="17"/>
  <c r="T29" i="20" s="1"/>
  <c r="M7" i="17"/>
  <c r="F61" i="19"/>
  <c r="F113" i="19" s="1"/>
  <c r="AA7" i="17"/>
  <c r="AA29" i="20" s="1"/>
  <c r="F46" i="19"/>
  <c r="F96" i="19" s="1"/>
  <c r="AH37" i="17"/>
  <c r="AH59" i="20" s="1"/>
  <c r="T22" i="17"/>
  <c r="F22" i="17"/>
  <c r="AH22" i="17"/>
  <c r="AH44" i="20" s="1"/>
  <c r="F37" i="17"/>
  <c r="F59" i="20" s="1"/>
  <c r="M37" i="17"/>
  <c r="M59" i="20" s="1"/>
  <c r="AA22" i="17"/>
  <c r="AA44" i="20" s="1"/>
  <c r="F7" i="17"/>
  <c r="F29" i="20" s="1"/>
  <c r="T37" i="17"/>
  <c r="M22" i="17"/>
  <c r="F31" i="19"/>
  <c r="F79" i="19" s="1"/>
  <c r="F23" i="17" l="1"/>
  <c r="F45" i="20" s="1"/>
  <c r="M38" i="17"/>
  <c r="M60" i="20" s="1"/>
  <c r="F38" i="17"/>
  <c r="F60" i="20" s="1"/>
  <c r="T38" i="17"/>
  <c r="T60" i="20" s="1"/>
  <c r="AH23" i="17"/>
  <c r="AH45" i="20" s="1"/>
  <c r="AA23" i="17"/>
  <c r="AA45" i="20" s="1"/>
  <c r="T8" i="17"/>
  <c r="T30" i="20" s="1"/>
  <c r="AH38" i="17"/>
  <c r="AH60" i="20" s="1"/>
  <c r="M8" i="17"/>
  <c r="M30" i="20" s="1"/>
  <c r="F32" i="19"/>
  <c r="F80" i="19" s="1"/>
  <c r="T23" i="17"/>
  <c r="T45" i="20" s="1"/>
  <c r="AA8" i="17"/>
  <c r="AA30" i="20" s="1"/>
  <c r="AH8" i="17"/>
  <c r="AH30" i="20" s="1"/>
  <c r="AA38" i="17"/>
  <c r="AA60" i="20" s="1"/>
  <c r="M23" i="17"/>
  <c r="M45" i="20" s="1"/>
  <c r="T59" i="20"/>
  <c r="T44" i="20"/>
  <c r="M29" i="20"/>
  <c r="M44" i="20"/>
  <c r="F44" i="20"/>
  <c r="F8" i="17"/>
  <c r="F30" i="20" s="1"/>
  <c r="F62" i="19"/>
  <c r="F47" i="19"/>
  <c r="F97" i="19" l="1"/>
  <c r="F114" i="19"/>
  <c r="T42" i="17"/>
  <c r="T64" i="20" s="1"/>
  <c r="AH12" i="17"/>
  <c r="AH34" i="20" s="1"/>
  <c r="M26" i="17"/>
  <c r="M48" i="20" s="1"/>
  <c r="F11" i="17"/>
  <c r="F33" i="20" s="1"/>
  <c r="F50" i="19"/>
  <c r="F100" i="19" s="1"/>
  <c r="AH48" i="17"/>
  <c r="AH70" i="20" s="1"/>
  <c r="M33" i="17"/>
  <c r="M55" i="20" s="1"/>
  <c r="AH16" i="17"/>
  <c r="AH38" i="20" s="1"/>
  <c r="AH15" i="17"/>
  <c r="AH37" i="20" s="1"/>
  <c r="AA47" i="17"/>
  <c r="AA69" i="20" s="1"/>
  <c r="F51" i="19"/>
  <c r="F101" i="19" s="1"/>
  <c r="F30" i="17"/>
  <c r="F52" i="20" s="1"/>
  <c r="AH29" i="17"/>
  <c r="AH51" i="20" s="1"/>
  <c r="F64" i="19"/>
  <c r="F55" i="19"/>
  <c r="F105" i="19" s="1"/>
  <c r="AA14" i="17"/>
  <c r="AA36" i="20" s="1"/>
  <c r="M45" i="17"/>
  <c r="M67" i="20" s="1"/>
  <c r="M41" i="17"/>
  <c r="M63" i="20" s="1"/>
  <c r="AA29" i="17"/>
  <c r="AA51" i="20" s="1"/>
  <c r="T45" i="17"/>
  <c r="T67" i="20" s="1"/>
  <c r="F43" i="17"/>
  <c r="F65" i="20" s="1"/>
  <c r="AH31" i="17"/>
  <c r="F42" i="19"/>
  <c r="F90" i="19" s="1"/>
  <c r="AA33" i="17"/>
  <c r="AA55" i="20" s="1"/>
  <c r="M42" i="17"/>
  <c r="M64" i="20" s="1"/>
  <c r="T46" i="17"/>
  <c r="T68" i="20" s="1"/>
  <c r="T14" i="17"/>
  <c r="T36" i="20" s="1"/>
  <c r="AA11" i="17"/>
  <c r="AA33" i="20" s="1"/>
  <c r="F39" i="19"/>
  <c r="F87" i="19" s="1"/>
  <c r="T10" i="17"/>
  <c r="T32" i="20" s="1"/>
  <c r="T25" i="17"/>
  <c r="T47" i="20" s="1"/>
  <c r="AH11" i="17"/>
  <c r="AH33" i="20" s="1"/>
  <c r="AA18" i="17"/>
  <c r="AA40" i="20" s="1"/>
  <c r="AA42" i="17"/>
  <c r="AA64" i="20" s="1"/>
  <c r="T40" i="17"/>
  <c r="T62" i="20" s="1"/>
  <c r="T48" i="17"/>
  <c r="T70" i="20" s="1"/>
  <c r="AA10" i="17"/>
  <c r="AA32" i="20" s="1"/>
  <c r="M43" i="17"/>
  <c r="M65" i="20" s="1"/>
  <c r="F54" i="19"/>
  <c r="F104" i="19" s="1"/>
  <c r="F41" i="17"/>
  <c r="F63" i="20" s="1"/>
  <c r="AA26" i="17"/>
  <c r="AA48" i="20" s="1"/>
  <c r="AA40" i="17"/>
  <c r="AA62" i="20" s="1"/>
  <c r="AA15" i="17"/>
  <c r="AA37" i="20" s="1"/>
  <c r="F57" i="19"/>
  <c r="F107" i="19" s="1"/>
  <c r="F14" i="17"/>
  <c r="F36" i="20" s="1"/>
  <c r="F56" i="19"/>
  <c r="F106" i="19" s="1"/>
  <c r="F17" i="17"/>
  <c r="F39" i="20" s="1"/>
  <c r="F65" i="19"/>
  <c r="F117" i="19" s="1"/>
  <c r="T44" i="17"/>
  <c r="T66" i="20" s="1"/>
  <c r="M32" i="17"/>
  <c r="M54" i="20" s="1"/>
  <c r="T18" i="17"/>
  <c r="T40" i="20" s="1"/>
  <c r="AA28" i="17"/>
  <c r="AA50" i="20" s="1"/>
  <c r="T31" i="17"/>
  <c r="T53" i="20" s="1"/>
  <c r="AH43" i="17"/>
  <c r="AH65" i="20" s="1"/>
  <c r="T43" i="17"/>
  <c r="T65" i="20" s="1"/>
  <c r="AA27" i="17"/>
  <c r="AA49" i="20" s="1"/>
  <c r="M14" i="17"/>
  <c r="M36" i="20" s="1"/>
  <c r="T13" i="17"/>
  <c r="T35" i="20" s="1"/>
  <c r="F45" i="17"/>
  <c r="F67" i="20" s="1"/>
  <c r="AH28" i="17"/>
  <c r="AH50" i="20" s="1"/>
  <c r="T11" i="17"/>
  <c r="T33" i="20" s="1"/>
  <c r="M28" i="17"/>
  <c r="M50" i="20" s="1"/>
  <c r="T41" i="17"/>
  <c r="T63" i="20" s="1"/>
  <c r="F44" i="17"/>
  <c r="F66" i="20" s="1"/>
  <c r="AA13" i="17"/>
  <c r="AA35" i="20" s="1"/>
  <c r="M44" i="17"/>
  <c r="M66" i="20" s="1"/>
  <c r="F49" i="19"/>
  <c r="AA39" i="17"/>
  <c r="AA61" i="20" s="1"/>
  <c r="F68" i="19"/>
  <c r="F120" i="19" s="1"/>
  <c r="AA48" i="17"/>
  <c r="AA70" i="20" s="1"/>
  <c r="T32" i="17"/>
  <c r="T54" i="20" s="1"/>
  <c r="T39" i="17"/>
  <c r="T61" i="20" s="1"/>
  <c r="AA25" i="17"/>
  <c r="AA47" i="20" s="1"/>
  <c r="F34" i="19"/>
  <c r="AA41" i="17"/>
  <c r="AA63" i="20" s="1"/>
  <c r="M12" i="17"/>
  <c r="M34" i="20" s="1"/>
  <c r="F70" i="19"/>
  <c r="F122" i="19" s="1"/>
  <c r="T24" i="17"/>
  <c r="T46" i="20" s="1"/>
  <c r="AH13" i="17"/>
  <c r="AH35" i="20" s="1"/>
  <c r="AA31" i="17"/>
  <c r="AA53" i="20" s="1"/>
  <c r="AH17" i="17"/>
  <c r="AH39" i="20" s="1"/>
  <c r="F52" i="19"/>
  <c r="F102" i="19" s="1"/>
  <c r="M11" i="17"/>
  <c r="M33" i="20" s="1"/>
  <c r="T26" i="17"/>
  <c r="T48" i="20" s="1"/>
  <c r="AH25" i="17"/>
  <c r="AH47" i="20" s="1"/>
  <c r="F40" i="19"/>
  <c r="F88" i="19" s="1"/>
  <c r="AH18" i="17"/>
  <c r="AH40" i="20" s="1"/>
  <c r="M29" i="17"/>
  <c r="M51" i="20" s="1"/>
  <c r="F31" i="17"/>
  <c r="F53" i="20" s="1"/>
  <c r="M31" i="17"/>
  <c r="M53" i="20" s="1"/>
  <c r="AH44" i="17"/>
  <c r="AH66" i="20" s="1"/>
  <c r="AH46" i="17"/>
  <c r="AH68" i="20" s="1"/>
  <c r="F67" i="19"/>
  <c r="F119" i="19" s="1"/>
  <c r="M48" i="17"/>
  <c r="M70" i="20" s="1"/>
  <c r="F48" i="19"/>
  <c r="F98" i="19" s="1"/>
  <c r="M27" i="17"/>
  <c r="M49" i="20" s="1"/>
  <c r="M17" i="17"/>
  <c r="M39" i="20" s="1"/>
  <c r="F37" i="19"/>
  <c r="F85" i="19" s="1"/>
  <c r="AA17" i="17"/>
  <c r="AA39" i="20" s="1"/>
  <c r="F36" i="19"/>
  <c r="F84" i="19" s="1"/>
  <c r="T29" i="17"/>
  <c r="T51" i="20" s="1"/>
  <c r="AH33" i="17"/>
  <c r="AH55" i="20" s="1"/>
  <c r="AH42" i="17"/>
  <c r="AH64" i="20" s="1"/>
  <c r="F40" i="17"/>
  <c r="F62" i="20" s="1"/>
  <c r="F27" i="17"/>
  <c r="F49" i="20" s="1"/>
  <c r="T47" i="17"/>
  <c r="T69" i="20" s="1"/>
  <c r="AA44" i="17"/>
  <c r="AA66" i="20" s="1"/>
  <c r="M16" i="17"/>
  <c r="M38" i="20" s="1"/>
  <c r="T12" i="17"/>
  <c r="T34" i="20" s="1"/>
  <c r="F18" i="17"/>
  <c r="F40" i="20" s="1"/>
  <c r="F38" i="19"/>
  <c r="F86" i="19" s="1"/>
  <c r="AA16" i="17"/>
  <c r="AA38" i="20" s="1"/>
  <c r="AA45" i="17"/>
  <c r="AA67" i="20" s="1"/>
  <c r="M25" i="17"/>
  <c r="M47" i="20" s="1"/>
  <c r="AH24" i="17"/>
  <c r="AH46" i="20" s="1"/>
  <c r="M47" i="17"/>
  <c r="M69" i="20" s="1"/>
  <c r="F13" i="17"/>
  <c r="F35" i="20" s="1"/>
  <c r="F46" i="17"/>
  <c r="F68" i="20" s="1"/>
  <c r="F16" i="17"/>
  <c r="F38" i="20" s="1"/>
  <c r="AH14" i="17"/>
  <c r="AH36" i="20" s="1"/>
  <c r="F72" i="19"/>
  <c r="F124" i="19" s="1"/>
  <c r="F24" i="17"/>
  <c r="F46" i="20" s="1"/>
  <c r="F66" i="19"/>
  <c r="F118" i="19" s="1"/>
  <c r="F53" i="19"/>
  <c r="F103" i="19" s="1"/>
  <c r="AH45" i="17"/>
  <c r="AH67" i="20" s="1"/>
  <c r="F41" i="19"/>
  <c r="F89" i="19" s="1"/>
  <c r="AH32" i="17"/>
  <c r="AH54" i="20" s="1"/>
  <c r="AA32" i="17"/>
  <c r="AA54" i="20" s="1"/>
  <c r="AH41" i="17"/>
  <c r="AH63" i="20" s="1"/>
  <c r="AH30" i="17"/>
  <c r="AH52" i="20" s="1"/>
  <c r="T16" i="17"/>
  <c r="T38" i="20" s="1"/>
  <c r="F29" i="17"/>
  <c r="F51" i="20" s="1"/>
  <c r="M18" i="17"/>
  <c r="M40" i="20" s="1"/>
  <c r="AH40" i="17"/>
  <c r="AH62" i="20" s="1"/>
  <c r="F71" i="19"/>
  <c r="F123" i="19" s="1"/>
  <c r="F69" i="19"/>
  <c r="F121" i="19" s="1"/>
  <c r="M15" i="17"/>
  <c r="M37" i="20" s="1"/>
  <c r="AH9" i="17"/>
  <c r="AH31" i="20" s="1"/>
  <c r="T15" i="17"/>
  <c r="T37" i="20" s="1"/>
  <c r="F48" i="17"/>
  <c r="F70" i="20" s="1"/>
  <c r="F33" i="19"/>
  <c r="F81" i="19" s="1"/>
  <c r="M40" i="17"/>
  <c r="M62" i="20" s="1"/>
  <c r="T27" i="17"/>
  <c r="T49" i="20" s="1"/>
  <c r="AA46" i="17"/>
  <c r="AA68" i="20" s="1"/>
  <c r="AA24" i="17"/>
  <c r="AA46" i="20" s="1"/>
  <c r="AH26" i="17"/>
  <c r="AH48" i="20" s="1"/>
  <c r="F39" i="17"/>
  <c r="F61" i="20" s="1"/>
  <c r="AA12" i="17"/>
  <c r="AA34" i="20" s="1"/>
  <c r="AA30" i="17"/>
  <c r="AA52" i="20" s="1"/>
  <c r="F42" i="17"/>
  <c r="F64" i="20" s="1"/>
  <c r="AH27" i="17"/>
  <c r="AH49" i="20" s="1"/>
  <c r="T33" i="17"/>
  <c r="T55" i="20" s="1"/>
  <c r="M10" i="17"/>
  <c r="M32" i="20" s="1"/>
  <c r="T9" i="17"/>
  <c r="T31" i="20" s="1"/>
  <c r="F15" i="17"/>
  <c r="F37" i="20" s="1"/>
  <c r="F35" i="19"/>
  <c r="F83" i="19" s="1"/>
  <c r="M24" i="17"/>
  <c r="AH47" i="17"/>
  <c r="AH69" i="20" s="1"/>
  <c r="AA9" i="17"/>
  <c r="AA31" i="20" s="1"/>
  <c r="F32" i="17"/>
  <c r="F54" i="20" s="1"/>
  <c r="F12" i="17"/>
  <c r="F34" i="20" s="1"/>
  <c r="F10" i="17"/>
  <c r="F32" i="20" s="1"/>
  <c r="T17" i="17"/>
  <c r="T39" i="20" s="1"/>
  <c r="F26" i="17"/>
  <c r="F48" i="20" s="1"/>
  <c r="F33" i="17"/>
  <c r="F55" i="20" s="1"/>
  <c r="F28" i="17"/>
  <c r="F50" i="20" s="1"/>
  <c r="M13" i="17"/>
  <c r="M35" i="20" s="1"/>
  <c r="M30" i="17"/>
  <c r="M52" i="20" s="1"/>
  <c r="T30" i="17"/>
  <c r="T52" i="20" s="1"/>
  <c r="F47" i="17"/>
  <c r="F69" i="20" s="1"/>
  <c r="T28" i="17"/>
  <c r="T50" i="20" s="1"/>
  <c r="AH10" i="17"/>
  <c r="AH32" i="20" s="1"/>
  <c r="M9" i="17"/>
  <c r="M31" i="20" s="1"/>
  <c r="AH39" i="17"/>
  <c r="AH61" i="20" s="1"/>
  <c r="F25" i="17"/>
  <c r="F47" i="20" s="1"/>
  <c r="M39" i="17"/>
  <c r="M46" i="17"/>
  <c r="M68" i="20" s="1"/>
  <c r="F63" i="19"/>
  <c r="F115" i="19" s="1"/>
  <c r="AA43" i="17"/>
  <c r="AA65" i="20" s="1"/>
  <c r="F9" i="17"/>
  <c r="F31" i="20" s="1"/>
  <c r="AH41" i="20" l="1"/>
  <c r="F63" i="5" s="1"/>
  <c r="AA49" i="17"/>
  <c r="T19" i="17"/>
  <c r="M41" i="20"/>
  <c r="F36" i="5" s="1"/>
  <c r="AH34" i="17"/>
  <c r="AH19" i="17"/>
  <c r="AH49" i="17"/>
  <c r="F56" i="20"/>
  <c r="F76" i="25" s="1"/>
  <c r="F77" i="25" s="1"/>
  <c r="F49" i="17"/>
  <c r="F73" i="19"/>
  <c r="F58" i="19"/>
  <c r="AA41" i="20"/>
  <c r="F54" i="5" s="1"/>
  <c r="T71" i="20"/>
  <c r="F47" i="5" s="1"/>
  <c r="AA56" i="20"/>
  <c r="F55" i="5" s="1"/>
  <c r="F41" i="20"/>
  <c r="T41" i="20"/>
  <c r="F45" i="5" s="1"/>
  <c r="AH71" i="20"/>
  <c r="F65" i="5" s="1"/>
  <c r="F19" i="17"/>
  <c r="AA19" i="17"/>
  <c r="AH53" i="20"/>
  <c r="AH56" i="20" s="1"/>
  <c r="F64" i="5" s="1"/>
  <c r="F34" i="17"/>
  <c r="AA34" i="17"/>
  <c r="T49" i="17"/>
  <c r="F116" i="19"/>
  <c r="F125" i="19" s="1"/>
  <c r="AA71" i="20"/>
  <c r="F56" i="5" s="1"/>
  <c r="F99" i="19"/>
  <c r="F108" i="19" s="1"/>
  <c r="M19" i="17"/>
  <c r="M49" i="17"/>
  <c r="M61" i="20"/>
  <c r="M71" i="20" s="1"/>
  <c r="F38" i="5" s="1"/>
  <c r="T56" i="20"/>
  <c r="F46" i="5" s="1"/>
  <c r="M34" i="17"/>
  <c r="F71" i="20"/>
  <c r="F43" i="19"/>
  <c r="F82" i="19"/>
  <c r="F91" i="19" s="1"/>
  <c r="T34" i="17"/>
  <c r="M46" i="20"/>
  <c r="M56" i="20" s="1"/>
  <c r="F37" i="5" s="1"/>
  <c r="C8" i="29" l="1" a="1"/>
  <c r="E98" i="29" s="1"/>
  <c r="C8" i="22" a="1"/>
  <c r="E77" i="22" s="1"/>
  <c r="F126" i="19"/>
  <c r="F127" i="19" s="1"/>
  <c r="H9" i="5"/>
  <c r="H10" i="5"/>
  <c r="F9" i="5"/>
  <c r="F10" i="5"/>
  <c r="G9" i="5"/>
  <c r="G10" i="5"/>
  <c r="I9" i="5"/>
  <c r="I10" i="5"/>
  <c r="F92" i="19"/>
  <c r="F93" i="19" s="1"/>
  <c r="F29" i="5"/>
  <c r="F27" i="5"/>
  <c r="E76" i="25"/>
  <c r="F28" i="5"/>
  <c r="G76" i="25"/>
  <c r="G77" i="25" s="1"/>
  <c r="F109" i="19"/>
  <c r="F93" i="29" l="1"/>
  <c r="F99" i="29"/>
  <c r="E83" i="29"/>
  <c r="E94" i="29"/>
  <c r="G68" i="29"/>
  <c r="G83" i="29"/>
  <c r="F61" i="29"/>
  <c r="G65" i="29"/>
  <c r="G62" i="29"/>
  <c r="G76" i="29"/>
  <c r="E77" i="29"/>
  <c r="E61" i="29"/>
  <c r="F92" i="29"/>
  <c r="G82" i="29"/>
  <c r="G64" i="29"/>
  <c r="F81" i="29"/>
  <c r="G66" i="29"/>
  <c r="E62" i="29"/>
  <c r="E79" i="29"/>
  <c r="E64" i="29"/>
  <c r="E100" i="29"/>
  <c r="E80" i="29"/>
  <c r="F100" i="29"/>
  <c r="G99" i="29"/>
  <c r="E74" i="29"/>
  <c r="F64" i="29"/>
  <c r="G80" i="29"/>
  <c r="F95" i="29"/>
  <c r="F91" i="29"/>
  <c r="F58" i="29"/>
  <c r="E81" i="29"/>
  <c r="E102" i="29"/>
  <c r="F84" i="29"/>
  <c r="G94" i="29"/>
  <c r="G91" i="29"/>
  <c r="F79" i="29"/>
  <c r="G81" i="29"/>
  <c r="E65" i="29"/>
  <c r="G84" i="29"/>
  <c r="G57" i="29"/>
  <c r="F83" i="29"/>
  <c r="G98" i="29"/>
  <c r="F94" i="29"/>
  <c r="E85" i="29"/>
  <c r="E66" i="29"/>
  <c r="F101" i="29"/>
  <c r="G59" i="29"/>
  <c r="F75" i="29"/>
  <c r="F67" i="29"/>
  <c r="G75" i="29"/>
  <c r="E97" i="29"/>
  <c r="G74" i="29"/>
  <c r="E78" i="29"/>
  <c r="F85" i="29"/>
  <c r="F66" i="29"/>
  <c r="E91" i="29"/>
  <c r="G96" i="29"/>
  <c r="E60" i="29"/>
  <c r="E96" i="29"/>
  <c r="F97" i="29"/>
  <c r="G67" i="29"/>
  <c r="G61" i="29"/>
  <c r="G92" i="29"/>
  <c r="G93" i="29"/>
  <c r="G95" i="29"/>
  <c r="F62" i="29"/>
  <c r="F60" i="29"/>
  <c r="G97" i="29"/>
  <c r="F65" i="29"/>
  <c r="C8" i="29"/>
  <c r="G58" i="29"/>
  <c r="F76" i="29"/>
  <c r="F57" i="29"/>
  <c r="E82" i="29"/>
  <c r="G79" i="29"/>
  <c r="E58" i="29"/>
  <c r="F102" i="29"/>
  <c r="E59" i="29"/>
  <c r="E95" i="29"/>
  <c r="F59" i="29"/>
  <c r="G100" i="29"/>
  <c r="E63" i="29"/>
  <c r="E75" i="29"/>
  <c r="E84" i="29"/>
  <c r="F96" i="29"/>
  <c r="F77" i="29"/>
  <c r="G60" i="29"/>
  <c r="G78" i="29"/>
  <c r="F68" i="29"/>
  <c r="F98" i="29"/>
  <c r="E57" i="29"/>
  <c r="F78" i="29"/>
  <c r="F74" i="29"/>
  <c r="G85" i="29"/>
  <c r="E68" i="29"/>
  <c r="F63" i="29"/>
  <c r="G101" i="29"/>
  <c r="E101" i="29"/>
  <c r="E93" i="29"/>
  <c r="E76" i="29"/>
  <c r="F80" i="29"/>
  <c r="E99" i="29"/>
  <c r="G63" i="29"/>
  <c r="F82" i="29"/>
  <c r="E92" i="29"/>
  <c r="E67" i="29"/>
  <c r="G102" i="29"/>
  <c r="G77" i="29"/>
  <c r="F84" i="22"/>
  <c r="F67" i="22"/>
  <c r="G63" i="22"/>
  <c r="E65" i="22"/>
  <c r="F57" i="22"/>
  <c r="F101" i="22"/>
  <c r="G85" i="22"/>
  <c r="E61" i="22"/>
  <c r="E76" i="22"/>
  <c r="E96" i="22"/>
  <c r="E75" i="22"/>
  <c r="E74" i="22"/>
  <c r="F77" i="22"/>
  <c r="E81" i="22"/>
  <c r="G95" i="22"/>
  <c r="F98" i="22"/>
  <c r="F65" i="22"/>
  <c r="F62" i="22"/>
  <c r="G60" i="22"/>
  <c r="E68" i="22"/>
  <c r="F91" i="22"/>
  <c r="G58" i="22"/>
  <c r="G66" i="22"/>
  <c r="G64" i="22"/>
  <c r="F92" i="22"/>
  <c r="F59" i="22"/>
  <c r="F63" i="22"/>
  <c r="G96" i="22"/>
  <c r="G65" i="22"/>
  <c r="G93" i="22"/>
  <c r="F66" i="22"/>
  <c r="E57" i="22"/>
  <c r="G81" i="22"/>
  <c r="E60" i="22"/>
  <c r="C8" i="22"/>
  <c r="E59" i="22"/>
  <c r="F68" i="22"/>
  <c r="E97" i="22"/>
  <c r="F61" i="22"/>
  <c r="G62" i="22"/>
  <c r="G76" i="22"/>
  <c r="F94" i="22"/>
  <c r="E80" i="22"/>
  <c r="G57" i="22"/>
  <c r="G100" i="22"/>
  <c r="F80" i="22"/>
  <c r="F100" i="22"/>
  <c r="E95" i="22"/>
  <c r="G77" i="22"/>
  <c r="F75" i="22"/>
  <c r="G94" i="22"/>
  <c r="G67" i="22"/>
  <c r="F97" i="22"/>
  <c r="E98" i="22"/>
  <c r="G68" i="22"/>
  <c r="G79" i="22"/>
  <c r="E84" i="22"/>
  <c r="G91" i="22"/>
  <c r="G102" i="22"/>
  <c r="G101" i="22"/>
  <c r="F83" i="22"/>
  <c r="G75" i="22"/>
  <c r="E64" i="22"/>
  <c r="G97" i="22"/>
  <c r="F81" i="22"/>
  <c r="E66" i="22"/>
  <c r="F93" i="22"/>
  <c r="F102" i="22"/>
  <c r="F82" i="22"/>
  <c r="G61" i="22"/>
  <c r="E82" i="22"/>
  <c r="F79" i="22"/>
  <c r="F74" i="22"/>
  <c r="E63" i="22"/>
  <c r="E100" i="22"/>
  <c r="E91" i="22"/>
  <c r="E94" i="22"/>
  <c r="G80" i="22"/>
  <c r="F78" i="22"/>
  <c r="G59" i="22"/>
  <c r="F58" i="22"/>
  <c r="E101" i="22"/>
  <c r="F85" i="22"/>
  <c r="F99" i="22"/>
  <c r="E99" i="22"/>
  <c r="F95" i="22"/>
  <c r="E85" i="22"/>
  <c r="G98" i="22"/>
  <c r="G92" i="22"/>
  <c r="G84" i="22"/>
  <c r="F76" i="22"/>
  <c r="E67" i="22"/>
  <c r="F60" i="22"/>
  <c r="G74" i="22"/>
  <c r="G99" i="22"/>
  <c r="E58" i="22"/>
  <c r="E83" i="22"/>
  <c r="E102" i="22"/>
  <c r="F96" i="22"/>
  <c r="E78" i="22"/>
  <c r="G82" i="22"/>
  <c r="F64" i="22"/>
  <c r="E92" i="22"/>
  <c r="E93" i="22"/>
  <c r="E62" i="22"/>
  <c r="E79" i="22"/>
  <c r="G78" i="22"/>
  <c r="G83" i="22"/>
  <c r="E9" i="5"/>
  <c r="E10" i="5"/>
  <c r="D131" i="19"/>
  <c r="F110" i="19"/>
  <c r="E131" i="19" s="1"/>
  <c r="E77" i="25"/>
  <c r="D93" i="25"/>
  <c r="E86" i="29" l="1"/>
  <c r="E87" i="29" s="1"/>
  <c r="E88" i="29" s="1"/>
  <c r="E103" i="29"/>
  <c r="E104" i="29" s="1"/>
  <c r="E105" i="29" s="1"/>
  <c r="F86" i="29"/>
  <c r="F87" i="29" s="1"/>
  <c r="F88" i="29" s="1"/>
  <c r="G69" i="29"/>
  <c r="G70" i="29" s="1"/>
  <c r="G71" i="29" s="1"/>
  <c r="F103" i="29"/>
  <c r="F104" i="29" s="1"/>
  <c r="F105" i="29" s="1"/>
  <c r="E69" i="29"/>
  <c r="E70" i="29" s="1"/>
  <c r="G86" i="29"/>
  <c r="G87" i="29" s="1"/>
  <c r="G88" i="29" s="1"/>
  <c r="G103" i="29"/>
  <c r="G104" i="29" s="1"/>
  <c r="G105" i="29" s="1"/>
  <c r="F69" i="29"/>
  <c r="F70" i="29" s="1"/>
  <c r="F71" i="29" s="1"/>
  <c r="F103" i="22"/>
  <c r="F104" i="22" s="1"/>
  <c r="F105" i="22" s="1"/>
  <c r="G69" i="22"/>
  <c r="G70" i="22" s="1"/>
  <c r="G71" i="22" s="1"/>
  <c r="G103" i="22"/>
  <c r="G104" i="22" s="1"/>
  <c r="G105" i="22" s="1"/>
  <c r="G86" i="22"/>
  <c r="G87" i="22" s="1"/>
  <c r="G88" i="22" s="1"/>
  <c r="E69" i="22"/>
  <c r="E70" i="22" s="1"/>
  <c r="E103" i="22"/>
  <c r="E104" i="22" s="1"/>
  <c r="E105" i="22" s="1"/>
  <c r="E86" i="22"/>
  <c r="E87" i="22" s="1"/>
  <c r="E88" i="22" s="1"/>
  <c r="F86" i="22"/>
  <c r="F87" i="22" s="1"/>
  <c r="F88" i="22" s="1"/>
  <c r="F69" i="22"/>
  <c r="F70" i="22" s="1"/>
  <c r="F71" i="22" s="1"/>
  <c r="H86" i="29" l="1"/>
  <c r="H69" i="29"/>
  <c r="H103" i="29"/>
  <c r="H86" i="22"/>
  <c r="H103" i="22"/>
  <c r="H69" i="22"/>
  <c r="D109" i="29"/>
  <c r="E71" i="29"/>
  <c r="E109" i="29" s="1"/>
  <c r="E71" i="22"/>
  <c r="E109" i="22" s="1"/>
  <c r="D109" i="22"/>
  <c r="G1" i="29" l="1"/>
  <c r="D12" i="28" s="1"/>
  <c r="G1" i="22"/>
  <c r="D11" i="28" s="1"/>
  <c r="D17" i="28" l="1"/>
  <c r="E1" i="29" s="1"/>
  <c r="E1" i="26" l="1"/>
  <c r="E1" i="19"/>
  <c r="E1" i="22"/>
  <c r="E1" i="11"/>
  <c r="E1" i="8"/>
  <c r="E1" i="20"/>
  <c r="E1" i="25"/>
  <c r="B30" i="27"/>
  <c r="E1" i="17"/>
  <c r="E1"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<sst xmlns="http://schemas.openxmlformats.org/spreadsheetml/2006/main" count="774" uniqueCount="260">
  <si>
    <t>Title:</t>
  </si>
  <si>
    <t>Modelled cost of offshore mitigation towards New Zealand's potential NDC2</t>
  </si>
  <si>
    <t>Author’s Contact Information: </t>
  </si>
  <si>
    <t>Modified by Nik Black, nikolas.black@mfe.govt.nz; Original specification for CEFA 2023 Callum Lo, callum.lo@treasury.govt.nz</t>
  </si>
  <si>
    <t>Date last updated:</t>
  </si>
  <si>
    <t>A paragraph describing its intended use(s):</t>
  </si>
  <si>
    <t>Purpose of the Model:</t>
  </si>
  <si>
    <r>
      <t xml:space="preserve">Provides estimates of the </t>
    </r>
    <r>
      <rPr>
        <sz val="11"/>
        <color theme="4"/>
        <rFont val="Calibri"/>
        <family val="2"/>
        <scheme val="minor"/>
      </rPr>
      <t>potential</t>
    </r>
    <r>
      <rPr>
        <sz val="11"/>
        <color rgb="FF0070C0"/>
        <rFont val="Calibri"/>
        <family val="2"/>
        <scheme val="minor"/>
      </rPr>
      <t xml:space="preserve"> fiscal cost of purchasing offshore mitigation towards options for New Zealand's second Nationally Determined Contribution (NDC2) under the Paris Agreement, for use in Ministerial decision-making to set the NDC2 target level. Original version used for the joint Treasury / Ministry for the Environment 2023 "Climate Economic and Fiscal Assessment." </t>
    </r>
  </si>
  <si>
    <t>A brief table detailing each tab’s description and purpose:</t>
  </si>
  <si>
    <t>Model index:</t>
  </si>
  <si>
    <t>Tab</t>
  </si>
  <si>
    <t>Purpose</t>
  </si>
  <si>
    <t>Inputs</t>
  </si>
  <si>
    <t>All hard-coded inputs and their sources. This tab is a single point of reference for inputted values across the model.</t>
  </si>
  <si>
    <t>Calcs - Volume Scenarios</t>
  </si>
  <si>
    <t xml:space="preserve">Calculates the total volume of offshore mitigation purchases required under the three volume scenarios.
Calculates the proportion of the total purchase volume required under each scenario to be purchased in each year of the period, based on an assumption of equal purchases in each year.
This sheet also calculates the volume purchased in each year for a 'back-loaded' scenario. </t>
  </si>
  <si>
    <t>Calcs - Price Scenarios</t>
  </si>
  <si>
    <r>
      <t>Calculates point-year emission unit prices ($/tonne) as a starting point for the three price scenarios used</t>
    </r>
    <r>
      <rPr>
        <sz val="11"/>
        <color theme="4"/>
        <rFont val="Calibri"/>
        <family val="2"/>
        <scheme val="minor"/>
      </rPr>
      <t>, in current year</t>
    </r>
    <r>
      <rPr>
        <sz val="11"/>
        <color rgb="FF0070C0"/>
        <rFont val="Calibri"/>
        <family val="2"/>
        <scheme val="minor"/>
      </rPr>
      <t xml:space="preserve"> New Zealand dollars.
Converts point-year prices into price "trajectories" for each scenario, escalating over the period 2024-2030.</t>
    </r>
  </si>
  <si>
    <t>Calcs - Price x Vol</t>
  </si>
  <si>
    <t xml:space="preserve">Multiplies each of the three price scenarios by each of the three volume scenarios to calculate the non-discounted cost in each year of the period. This gives 9 total cost scenarios. </t>
  </si>
  <si>
    <t>Calcs - Discounted cash flows</t>
  </si>
  <si>
    <t>Calculates the discount factor in each year used to discount the cash flows calculated in the "Calcs - Price x Vol" tab to present value.
Calculates the discounted costs (present value) in each year for each of the 9 scenarios.</t>
  </si>
  <si>
    <t>Outputs</t>
  </si>
  <si>
    <t>Total costs (present value) of offshore mitigation purchases for the 9 core modelled scenarios. These outputs are the figures included in the Climate Economic and Fiscal Assessment report.</t>
  </si>
  <si>
    <t>Sensitivity (Purchase timing)</t>
  </si>
  <si>
    <t>Sensitivity analysis of a scenario where purchases are back-loaded towards the end of the 2024-2030 period or front-loaded in the late 2020s, instead of being spread evenly over the period.</t>
  </si>
  <si>
    <t>Sensitivity (discount rate + 1%)</t>
  </si>
  <si>
    <t>Sensitivity analysis of discount rates in each year being one percentage point higher.</t>
  </si>
  <si>
    <t>Sensitivity (discount rate + 5%)</t>
  </si>
  <si>
    <t>Sensitivity analysis of discount rates in each year being five percentage pionts higher.</t>
  </si>
  <si>
    <t>Sensitivity (escalation) [Archived]</t>
  </si>
  <si>
    <t>Sensitivity analysis in which the "escalation rate" used to calculate the price trajectories based on the point-year prices in the "Calcs - Prices - Step 2" tab is 5 percentage points higher than the base case.</t>
  </si>
  <si>
    <t>Colour key:</t>
  </si>
  <si>
    <t>Cell font colour</t>
  </si>
  <si>
    <t>Description</t>
  </si>
  <si>
    <t>Blue</t>
  </si>
  <si>
    <t>Input</t>
  </si>
  <si>
    <t>Green</t>
  </si>
  <si>
    <t>Calculation</t>
  </si>
  <si>
    <t>Purple</t>
  </si>
  <si>
    <t>Output</t>
  </si>
  <si>
    <t>Red</t>
  </si>
  <si>
    <t>Comment</t>
  </si>
  <si>
    <t>Model status</t>
  </si>
  <si>
    <t>See checks sheet if cell reads Err</t>
  </si>
  <si>
    <t>Checks</t>
  </si>
  <si>
    <t>Sheet</t>
  </si>
  <si>
    <t>Check</t>
  </si>
  <si>
    <t>Comment:</t>
  </si>
  <si>
    <t>Check cells in each sheet test key calculations. They only check some calculations and not inputs, so care should still be taken. A check cell reads "OK" when it is 0, or "Err" if not 0. The workbook status is the sum of all sheet checks and linked at the top of each sheet. The check status confirms the number of sheets is the same as the number of check rows</t>
  </si>
  <si>
    <t>Sensitivity (purchase timing)</t>
  </si>
  <si>
    <t>Sensitivity (escalation)</t>
  </si>
  <si>
    <t>INSERT ABOVE</t>
  </si>
  <si>
    <t>Check status</t>
  </si>
  <si>
    <t>Checks if the number of sheets listed above matches the number of workbook sheets, excluding the check, Archive section seperator, and cover sheets</t>
  </si>
  <si>
    <t>Workbook status</t>
  </si>
  <si>
    <t>Workbook:</t>
  </si>
  <si>
    <t>Sheet:</t>
  </si>
  <si>
    <t>Emissions projections</t>
  </si>
  <si>
    <t xml:space="preserve">This table provides estimates of New Zealand's domestic emissions under three different scenarios.
These are later used to calculate the "gap" between New Zealand's domestic emissions and its NDC1, and therefore the required purchase volume of offshore mitigation.
Assumes, for now, that emissions are evenly distributed over the EB3 period. </t>
  </si>
  <si>
    <t>Year</t>
  </si>
  <si>
    <t>With-existing measures (WEM) - Baseline</t>
  </si>
  <si>
    <t>Emissions budgets</t>
  </si>
  <si>
    <t>WEM Low</t>
  </si>
  <si>
    <t>TO CONFIRM (if we use NDC1 for sensitivity check)</t>
  </si>
  <si>
    <t>Source: MfE projections provided to Treasury (available in Appendix 3 of the CEFA)</t>
  </si>
  <si>
    <t>Source: https://environment.govt.nz/what-government-is-doing/areas-of-work/climate-change/emissions-budgets-and-the-emissions-reduction-plan/</t>
  </si>
  <si>
    <t>NDC1 Provisional Emissions Budget 2021-2030 (Mt CO2e)</t>
  </si>
  <si>
    <t>This table provides the total volume of allowed emissions under NZ's NDC1 for 2021-2030. The gap between this volume and NZ's domestic emissions is the required volume of offshore mitigation.</t>
  </si>
  <si>
    <t>Source</t>
  </si>
  <si>
    <t>Allowed emissions</t>
  </si>
  <si>
    <t>https://unfccc.int/sites/default/files/NDC/2022-06/New%20Zealand%20NDC%20November%202021.pdf</t>
  </si>
  <si>
    <t>NDC2 potential target levels and associated Emissions Budgets 2031-2035</t>
  </si>
  <si>
    <t>Input variables</t>
  </si>
  <si>
    <t>This table sets potential NDC2 target levels to be modelled alongside their provisional emissions budgets. The assumed minimum is emissions budget three, corresponding to 51% rounded down. Budgets are calculated on the inputted headline percent to model different scenarios.</t>
  </si>
  <si>
    <t>Emissions</t>
  </si>
  <si>
    <t>Gross 2005 (MtCO2e)</t>
  </si>
  <si>
    <t>(GHGI 2024)</t>
  </si>
  <si>
    <t>Proj 2030 (MtCO2e)</t>
  </si>
  <si>
    <t>BTR ENZ + Proj. Tokelau</t>
  </si>
  <si>
    <t>EB3 Budget</t>
  </si>
  <si>
    <t>Budget calculation</t>
  </si>
  <si>
    <t>EB3 (Note formula different)</t>
  </si>
  <si>
    <t>&lt;= Round down to 51%</t>
  </si>
  <si>
    <t>Headline %</t>
  </si>
  <si>
    <t>2035 Target (MtCO2e)</t>
  </si>
  <si>
    <t>NDC2 Budget (MtCO2e)</t>
  </si>
  <si>
    <t>Check EB3 budget match input</t>
  </si>
  <si>
    <t>Prices used to construct Price Scenarios</t>
  </si>
  <si>
    <t xml:space="preserve">This table provides the input prices used to construct the three "Price Scenarios" used to calculate the cost of purchasing offshore mitigation.
The formulae allow two scenarios with two prices per scenario. Scenarios must be listed in order, and in ascending order by year to pass the checks. Descriptions must match exactly (including spaces). 
i.e:
A | 2030
A | 2035
B | 2030
B| 2035
C | 2024
Years must exactly match the above without changes to the Calcs - Price Scenarios sheet. </t>
  </si>
  <si>
    <t>Currency</t>
  </si>
  <si>
    <t>Base year</t>
  </si>
  <si>
    <t>Price</t>
  </si>
  <si>
    <t>Check scenario order</t>
  </si>
  <si>
    <t>Check 2030 then 2035 &amp; current price is 2024</t>
  </si>
  <si>
    <t>IEA - Selected EMDE with net zero targets scenario</t>
  </si>
  <si>
    <t>https://iea.blob.core.windows.net/assets/830fe099-5530-48f2-a7c1-11f35d510983/WorldEnergyOutlook2022.pdf#page=465</t>
  </si>
  <si>
    <t>USD</t>
  </si>
  <si>
    <t>IEA - Emerging and developed economies</t>
  </si>
  <si>
    <t>Indicative current price</t>
  </si>
  <si>
    <t>Exchange rates</t>
  </si>
  <si>
    <t>This table provides the exchange rates and inflation rates used to convert input prices from foreign currencies and different years to NZD in 2022 dollars.</t>
  </si>
  <si>
    <t>Value</t>
  </si>
  <si>
    <t>December 2023 USD/NZD Exchange rate</t>
  </si>
  <si>
    <t>https://www.rbnz.govt.nz/statistics/series/exchange-and-interest-rates/exchange-rates-and-the-trade-weighted-index</t>
  </si>
  <si>
    <t>December 2023 KRW/NZD Exchange rate</t>
  </si>
  <si>
    <t>December 2023 EUR/NZD Exchange rate</t>
  </si>
  <si>
    <t>December 2023 GBP/NZD Exchange rate</t>
  </si>
  <si>
    <t>US Consumer Price Index</t>
  </si>
  <si>
    <t xml:space="preserve">Source: </t>
  </si>
  <si>
    <t xml:space="preserve">U.S. Bureau of Labour Statistics. (2024). Consumer Price Index for All Urban Consumer (CPI-U). Series ID CUUR0000SA0. Base Period 1982-84=100. </t>
  </si>
  <si>
    <t>Jan</t>
  </si>
  <si>
    <t>Feb</t>
  </si>
  <si>
    <t>Mar</t>
  </si>
  <si>
    <t>Apr</t>
  </si>
  <si>
    <t>May</t>
  </si>
  <si>
    <t>Jun</t>
  </si>
  <si>
    <t>Jul</t>
  </si>
  <si>
    <t>Aug</t>
  </si>
  <si>
    <t>Sep</t>
  </si>
  <si>
    <t>Oct</t>
  </si>
  <si>
    <t>Nov</t>
  </si>
  <si>
    <t>Dec</t>
  </si>
  <si>
    <t>Annual</t>
  </si>
  <si>
    <t xml:space="preserve">This table provides consumer price index data for the US economy to convert USD of different base years to 2023 USD. </t>
  </si>
  <si>
    <t>Distribution of purchases across the NDC1 period (purchases begin in 2024)</t>
  </si>
  <si>
    <t>This table calculates the percentage of purchases made in each year if purchases are spread evenly over the NDC2 5-year period.</t>
  </si>
  <si>
    <t>'Evenly distributed' scenario</t>
  </si>
  <si>
    <t>% of total purchases</t>
  </si>
  <si>
    <t>Check 100%</t>
  </si>
  <si>
    <t>This table provides a scenario in which purchases are weighted towards the end of the 2031-2035 period.
The percentages are assumed and are inputted manually.</t>
  </si>
  <si>
    <t>'Back-loaded' scenario</t>
  </si>
  <si>
    <t>This table provides a scenario in which purchases occur mostly in the NDC1 period.
The percentages are assumed and are inputted manually.</t>
  </si>
  <si>
    <t>'Front-loaded' scenario</t>
  </si>
  <si>
    <t>Discount rates across the purchasing period</t>
  </si>
  <si>
    <t>Source:</t>
  </si>
  <si>
    <t>Retrieved:</t>
  </si>
  <si>
    <t>https://www.treasury.govt.nz/information-and-services/state-sector-leadership/guidance/reporting-financial/discount-rates/discount-rates-and-cpi-assumptions-accounting-valuation-purposes</t>
  </si>
  <si>
    <t>18 October 2024</t>
  </si>
  <si>
    <t>The CPI (Consumer Price Index), which measures inflation, is subtracted from the nominal discount rate in each year to produce a real discount rate.
This real discount rate is used to discount the future cash flows involved in NDC1 offshore mitigation purchases back to their present value.</t>
  </si>
  <si>
    <t>Nominal discount rate</t>
  </si>
  <si>
    <t>CPI</t>
  </si>
  <si>
    <t>From September 2022 Annual</t>
  </si>
  <si>
    <t>From September 2023 Annual</t>
  </si>
  <si>
    <t>Domestic emissions assumptions used to calculate implied volume of offshore mitigation needed to achieve NDC1</t>
  </si>
  <si>
    <t>This table is a restatement of the emissions projections from the "Inputs" tab.
Because the emissions budgets do not cover the year 2021, the WEM - Baseline figure is used for that scenario (highlighted in yellow).</t>
  </si>
  <si>
    <t>Emissions path consistent with domestic budgets (MT CO2e)</t>
  </si>
  <si>
    <t>NDC1</t>
  </si>
  <si>
    <t>DO NOT MODIFY THE SHEET STRUCTURE BELOW THIS LINE</t>
  </si>
  <si>
    <t>Scenario 1: Headline target</t>
  </si>
  <si>
    <t>Scenario 2: Headline target</t>
  </si>
  <si>
    <t>Scenario 3: Headline target</t>
  </si>
  <si>
    <t>Scenario 4: Headline target</t>
  </si>
  <si>
    <t>Scenario 5: Headline target</t>
  </si>
  <si>
    <t>Confirms calculating only NDC2 period - change if including NDC1</t>
  </si>
  <si>
    <t>This table sums the projected emissions in each scenario, and subtracts the allowed emissions under NDC1 to calculate required volume of offshore mitigation purchases.</t>
  </si>
  <si>
    <t>Note: change period to include NDC1</t>
  </si>
  <si>
    <t>Cumulative domestic emissions 2031-35</t>
  </si>
  <si>
    <t>Less NDC provisional budget</t>
  </si>
  <si>
    <r>
      <t>Implied volume of offshore mitigation</t>
    </r>
    <r>
      <rPr>
        <i/>
        <sz val="11"/>
        <color theme="1"/>
        <rFont val="Calibri"/>
        <family val="2"/>
        <scheme val="minor"/>
      </rPr>
      <t xml:space="preserve"> (Cumulative domestic emissions minus NDC budget)</t>
    </r>
  </si>
  <si>
    <t>Distribution of purchases across the NDC1 period (purchases can begin from 2024)</t>
  </si>
  <si>
    <t>This table takes the total offshore mitigation purchase volumes calculated in the previous step and spreads them out over the period, based on the assumed % of purchases in each year from the "Inputs" tab.</t>
  </si>
  <si>
    <t>Evenly distributed</t>
  </si>
  <si>
    <t>This table does the same as the previous table, but assumes a "back-loaded" scenario of purchases, using the corresponding percentages from the "Inputs" tab.</t>
  </si>
  <si>
    <t>Back-loaded</t>
  </si>
  <si>
    <t>This table does the same as the previous table, but assumes a "front-loaded" scenario of purchases, using the corresponding percentages from the "Inputs" tab.</t>
  </si>
  <si>
    <t>Front-loaded</t>
  </si>
  <si>
    <t>Inflating to 2022 USD prices (where relevant) and converting to NZD</t>
  </si>
  <si>
    <t>Two of the Price Scenarios use prices from the IEA as a source.
This table converts these prices into NZD (2022$)</t>
  </si>
  <si>
    <t>Sources</t>
  </si>
  <si>
    <t>Scenario</t>
  </si>
  <si>
    <t>Date</t>
  </si>
  <si>
    <t xml:space="preserve">USD price per tonne of CO2 at date (original base year) </t>
  </si>
  <si>
    <t>Adjusted to 2023 USD price</t>
  </si>
  <si>
    <t>Converted to NZD (2023$)</t>
  </si>
  <si>
    <t>Calculating the implied price escalation rate from each data source</t>
  </si>
  <si>
    <t>The HLCCP report provides prices in 2020 and 2030. This table calculates the rate of increase required for the 2020 price to reach the 2030 price ten years later.
It then calculates the inverse: the rate of price decrease required to move from the 2030 price backwards to the 2020 price ten years earlier.</t>
  </si>
  <si>
    <t>Step</t>
  </si>
  <si>
    <t>Total % change in prices over 2020 - 2030</t>
  </si>
  <si>
    <t>SEE COMMENT CELL D16</t>
  </si>
  <si>
    <t>Total number of years</t>
  </si>
  <si>
    <t>Multiplier for annual increase in HLCCP price trajectory</t>
  </si>
  <si>
    <t>Multiplier for annual reduction in HLCCP price trajectory</t>
  </si>
  <si>
    <t>Calculating the price assumption trajectory for 2024-2030</t>
  </si>
  <si>
    <t>This table applies the price change rates calculated in the previous step to the sourced prices calculated in the top two tables on this Tab.
This produces a price trajectory over the assumed purchase period for each Price Scenario, with a different price in each year.
Because the IEA prices are for 2030, the inverted price change rate is applied to move backwards through time.</t>
  </si>
  <si>
    <t>Price assumptions (NZD, 2023$)</t>
  </si>
  <si>
    <t>Check calculated 2035 matches</t>
  </si>
  <si>
    <t>Check highlighted cells</t>
  </si>
  <si>
    <r>
      <rPr>
        <b/>
        <sz val="11"/>
        <color rgb="FFC00000"/>
        <rFont val="Calibri"/>
        <family val="2"/>
        <scheme val="minor"/>
      </rPr>
      <t>Note</t>
    </r>
    <r>
      <rPr>
        <sz val="11"/>
        <color rgb="FFC00000"/>
        <rFont val="Calibri"/>
        <family val="2"/>
        <scheme val="minor"/>
      </rPr>
      <t>: Highlighted figures are based on calculations in previous step</t>
    </r>
  </si>
  <si>
    <t>Non-discounted cost of purchases (NZD millions, 2022$)</t>
  </si>
  <si>
    <t>These three tables calculate the nominal cost each year of offshore mitigation purchases for each combination of the three Price Scenarios and three Volume Scenarios.
Each of the three tables represents a different Volume Scenario and each column is a different Price Scenario.
The nominal cost of offshore mitigation purchases in each year is calculated by multiplying the assumed price per tonne by the assumed volume in tonnes, calculated in the previous two Tabs for each Price and Volume Scenario.</t>
  </si>
  <si>
    <t>Scenario (% target):</t>
  </si>
  <si>
    <t>Average of current market prices</t>
  </si>
  <si>
    <t>Total</t>
  </si>
  <si>
    <t>This table calculates the discount factor to be applied to the cash flow in each year to discount them to their present values. 
The CPI is subtracted from the Treasury's projected nominal discount rates in each year (from the "Inputs" tab) to produce a real discount rate.
The discount factor is then calculated which is applied to cash flows in each year such that they are discounted by each of the preceding discount rates.
The table also calculates discount factors for the two sensitivity scenarios in which real discount rates are assumed to be 1 percentage point higher and 5 percentage points higher, respectively.</t>
  </si>
  <si>
    <t>Main scenario</t>
  </si>
  <si>
    <t>+1% (for sensitivity analysis)</t>
  </si>
  <si>
    <t>8% (for sensitivity analysis)</t>
  </si>
  <si>
    <t>Real discount rate</t>
  </si>
  <si>
    <t>Discount factor</t>
  </si>
  <si>
    <t>-</t>
  </si>
  <si>
    <t>Discounted cost of purchases (NZD millions, 2023$)</t>
  </si>
  <si>
    <t>Scenario (% target)</t>
  </si>
  <si>
    <t>These three tables take the cash flows calculated for each year in each Price and Volume Scenario (calculated in the previous Tab) and discounts them to present value using the discount factor for each year, calculated in the previous table.</t>
  </si>
  <si>
    <t>&lt; (Present value, NZD millions, in 2023 prices)</t>
  </si>
  <si>
    <t>Final outputs - total cost of offshore mitigation purchases</t>
  </si>
  <si>
    <t>Offshore mitigation Cost - NDC2 target level (%)</t>
  </si>
  <si>
    <t>NDC2 Emissions Budget (Mt CO2e)</t>
  </si>
  <si>
    <t>Additional mitigation above EB3 (Mt CO2e, assumed offshore)</t>
  </si>
  <si>
    <t>Average price per tonne NDC2 period (2023$)</t>
  </si>
  <si>
    <t>Assumes IEA is high/low</t>
  </si>
  <si>
    <t>Cost range between scenarios (PV, 2023$ billion)</t>
  </si>
  <si>
    <t>Cost based on average IEA price increases and current prices (PV, 2023$ billion)</t>
  </si>
  <si>
    <t>This table presents the total cost (present value) of offshore mitigation purchases towards the NDC under each Price and Volume Scenario.
These are expressed in NZD in 2023 dollars.</t>
  </si>
  <si>
    <t>(NZD millions, present value, 2023$)</t>
  </si>
  <si>
    <t>Price scenarios</t>
  </si>
  <si>
    <t>Volume scenarios</t>
  </si>
  <si>
    <t>Emissions gap based on MfE's baseline projection</t>
  </si>
  <si>
    <t>Emissions gap based on New Zealand's domestic budgets</t>
  </si>
  <si>
    <t>Emissions gap based on MfE's 'lower-emission' projection</t>
  </si>
  <si>
    <t>Sensitivity analysis - Timing scenarios: Non-discounted cash flows (NZD millions, 2023$)</t>
  </si>
  <si>
    <t>Target scenario (Select)</t>
  </si>
  <si>
    <t>Select desired scenario to test (dropdown)</t>
  </si>
  <si>
    <t>Sensitvity test (Select)</t>
  </si>
  <si>
    <t>Volume scenarios column match</t>
  </si>
  <si>
    <t>Sensitivity offset</t>
  </si>
  <si>
    <t>Check table in right place in Calcs - Volume Scenario</t>
  </si>
  <si>
    <t>Check table in right place in Calcs - Discounted cash flows</t>
  </si>
  <si>
    <t xml:space="preserve">This table selects the corresponding table from the Calcs - Volume Scenarios sheet based on the inputted target scenario and sensitivity test. 
The formula depends on the structure of the Calcs - Volume Scenarios sheet remaining exactly the same, due to the offset fuction which selects cells based on a fixed number of cells from a reference point. The check tests whether the selected scenario is attributed correctly. </t>
  </si>
  <si>
    <t>These three tables calculate the nominal cost in each year (for each Price and Volume Scenario) for the sensitivity scenario in which purchases are back-loaded towards the end of the NDC1 period.
It does this by multiplying the total purchase volumes calculated in the "Calcs - Volume Scenarios" Tab by the assumed purchase % in each year calculated for the "Back-loaded" scenario in the "Inputs" tab.
It then multiplies this by the assumed price in each year for each Price Scenario, calculated in the "Calcs - Price Scenarios" Tab.</t>
  </si>
  <si>
    <t>Sensitivity analysis - 'Back-loaded' scenario: Discounted cash flows (NZD millions, 2022$)</t>
  </si>
  <si>
    <t>These three tables take the cash flows calculated for each year in each Price and Volume Scenario (calculated in the previous table) and discount them to present value using the discount factor for each year, calculated in the "Calcs - Discounted cash flows" Tab.</t>
  </si>
  <si>
    <t>Difference</t>
  </si>
  <si>
    <t>% difference</t>
  </si>
  <si>
    <t>This table compares the total cost calculated under each Price and Volume Scenario under the "back-loaded" sensitivity scenario with the equivalent cost in the main model scenario (found on the "Outputs" tab).
It then calculates the absolute and % difference between the two.
This shows how much the assumption used for the sensitity scenario changes the total costs, on average.</t>
  </si>
  <si>
    <t>Average difference (relative to central scenario)</t>
  </si>
  <si>
    <t>Average % difference (relative to central scenario)</t>
  </si>
  <si>
    <t>Sensitivity analysis - Discount rates higher by 1 percentage point: Discounted cash flows (NZD millions, 2023$)</t>
  </si>
  <si>
    <t>Price x vol scenario column match</t>
  </si>
  <si>
    <t>Check table in right place in Calcs - Price x Vol</t>
  </si>
  <si>
    <t xml:space="preserve">This table fills with values  from the Calcs - Price x Vol sheet based on the selected target scenario. 
It relies on the source sheet structure staying unchanged. The check partially tests for this by confirming the relative location of 'WEM Low'. </t>
  </si>
  <si>
    <t>These three tables calculate the discounted cost in each year (for each Price and Volume Scenario) for the sensitivity scenario in which discount rates are higher by 1 percentage point each year.
It does this by taking the assumed cash flows calculated for each year in each Price and Volume Scenario (calculated in the "Calcs - Price x Vol" Tab) and discounting them to present value using the (+1%) discount factor for each year, calculated in the "Calcs - Discounted cash flows" Tab.</t>
  </si>
  <si>
    <t>Based on IEA price for emerging and developing economies</t>
  </si>
  <si>
    <t>Based on IEA price for advanced economies</t>
  </si>
  <si>
    <t>Check that discounted total is less than the nominal total</t>
  </si>
  <si>
    <t>This table compares the total cost calculated under each Price and Volume Scenario when discount rates are higher by 1 percentage point with the equivalent cost in the main model scenario (found on the "Outputs" tab).
It then calculates the absolute and % difference between the two.
This shows how much the assumption used for the sensitity scenario changes the total costs, on average.</t>
  </si>
  <si>
    <t>Average difference 
(NZD millions, 2022$) 
(relative to central scenario)</t>
  </si>
  <si>
    <t>Average % difference 
(relative to central scenario)</t>
  </si>
  <si>
    <t>Sensitivity analysis - Discount rates higher by 5 percentage points: Discounted cash flows (NZD millions, 2023$)</t>
  </si>
  <si>
    <t>Sensitivity analysis - Calculating price trajectories at an escalation rate higher by 5 percentage points (NZD millions, 2022$)</t>
  </si>
  <si>
    <t>This table adds 5 percentage points to the price escalation rate used to convert point-year prices to price trajectories.
It then calculates the inverse, i.e. the equivalent rate of decrease each year when moving backwards in time.</t>
  </si>
  <si>
    <t>NOT USED SINCE PRICE ESCALATION RATE BASED ON LINE BETWEEN TWO KNOWN POINTS</t>
  </si>
  <si>
    <t>This table applies the price change rates calculated in the previous step to the sourced prices calculated in the top two tables on the "Calcs - Price Scenarios" Tab.
This produces a price trajectory over the assumed purchase period for each Price Scenario, with a different price in each year.
Because the IEA prices are for 2030, the inverted price change rate is applied to move backwards through time.</t>
  </si>
  <si>
    <t>Price assumptions (NZD, 2022$)</t>
  </si>
  <si>
    <t>Sensitivity analysis - Price escalation rate higher by 5 percentage points: Non-discounted cash flows (NZD millions, 2022$)</t>
  </si>
  <si>
    <t>These three tables calculate the nominal costs in each year (for each Price and Volume Scenario) for the sensitivity scenario in which the price escalation rate is higher by 5 percentage points each year.
It does this by multiplying the  purchase volumes in each year (calculated in the "Calcs - Price x Vol" Tab) by the assumed price in each year for each Price Scenario, calculated in table above.</t>
  </si>
  <si>
    <t>Sensitivity analysis - Price escalation rate higher by 5 percentage points: Discounted cash flows (NZD millions, 2022$)</t>
  </si>
  <si>
    <t>These three tables take the cash flows calculated for each year in each Price and Volume Scenario (calculated in the previous table) and discounts them to present value using the discount factor for each year, calculated in the "Calcs - Discounted cash flows" Tab.</t>
  </si>
  <si>
    <t>This table compares the total cost for each Price and Volume Scenario when the price escalation rate is higher by 5 percentage points with the equivalent cost in the main model scenario (found on the "Outputs" tab).
It then calculates the absolute and % difference between the two.
This shows how much the assumption used for the sensitity scenario changes the total costs, on average.</t>
  </si>
  <si>
    <t xml:space="preserve">Withheld under section 6(b)(ii)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</si>
</sst>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quot;#,##0_);[Red]\(&quot;$&quot;#,##0\)"/>
    <numFmt numFmtId="165" formatCode="&quot;$&quot;#,##0.00_);[Red]\(&quot;$&quot;#,##0.00\)"/>
    <numFmt numFmtId="166" formatCode="_(* #,##0.00_);_(* \(#,##0.00\);_(* &quot;-&quot;??_);_(@_)"/>
    <numFmt numFmtId="167" formatCode="&quot;$&quot;#,##0.00"/>
    <numFmt numFmtId="168" formatCode="0.0000"/>
    <numFmt numFmtId="169" formatCode="0.0000000000000000000000000%"/>
    <numFmt numFmtId="170" formatCode="[Red]&quot;Error&quot;;[Red]&quot;Error&quot;;\ &quot;OK&quot;"/>
  </numFmts>
  <fonts count="34" x14ac:knownFonts="1">
    <font>
      <sz val="11"/>
      <color theme="1"/>
      <name val="Calibri"/>
      <family val="2"/>
      <scheme val="minor"/>
    </font>
    <font>
      <b/>
      <sz val="11"/>
      <color theme="1"/>
      <name val="Calibri"/>
      <family val="2"/>
      <scheme val="minor"/>
    </font>
    <font>
      <sz val="11"/>
      <color theme="1"/>
      <name val="Calibri"/>
      <family val="2"/>
      <scheme val="minor"/>
    </font>
    <font>
      <i/>
      <sz val="11"/>
      <color theme="1"/>
      <name val="Calibri"/>
      <family val="2"/>
      <scheme val="minor"/>
    </font>
    <font>
      <b/>
      <i/>
      <sz val="11"/>
      <color theme="1"/>
      <name val="Calibri"/>
      <family val="2"/>
      <scheme val="minor"/>
    </font>
    <font>
      <b/>
      <sz val="14"/>
      <color theme="1"/>
      <name val="Calibri"/>
      <family val="2"/>
      <scheme val="minor"/>
    </font>
    <font>
      <b/>
      <sz val="12.5"/>
      <color theme="1"/>
      <name val="Calibri"/>
      <family val="2"/>
      <scheme val="minor"/>
    </font>
    <font>
      <sz val="11"/>
      <color theme="4"/>
      <name val="Calibri"/>
      <family val="2"/>
      <scheme val="minor"/>
    </font>
    <font>
      <sz val="11"/>
      <name val="Calibri"/>
      <family val="2"/>
      <scheme val="minor"/>
    </font>
    <font>
      <sz val="11"/>
      <color rgb="FF0070C0"/>
      <name val="Calibri"/>
      <family val="2"/>
      <scheme val="minor"/>
    </font>
    <font>
      <i/>
      <sz val="11"/>
      <color rgb="FF0070C0"/>
      <name val="Calibri"/>
      <family val="2"/>
      <scheme val="minor"/>
    </font>
    <font>
      <sz val="11"/>
      <color rgb="FF7030A0"/>
      <name val="Calibri"/>
      <family val="2"/>
      <scheme val="minor"/>
    </font>
    <font>
      <sz val="8"/>
      <name val="Calibri"/>
      <family val="2"/>
      <scheme val="minor"/>
    </font>
    <font>
      <b/>
      <sz val="1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i/>
      <sz val="11"/>
      <name val="Calibri"/>
      <family val="2"/>
      <scheme val="minor"/>
    </font>
    <font>
      <b/>
      <sz val="12.5"/>
      <name val="Calibri"/>
      <family val="2"/>
      <scheme val="minor"/>
    </font>
    <font>
      <sz val="11"/>
      <color theme="7"/>
      <name val="Calibri"/>
      <family val="2"/>
      <scheme val="minor"/>
    </font>
    <font>
      <sz val="11"/>
      <color rgb="FF00B050"/>
      <name val="Calibri"/>
      <family val="2"/>
      <scheme val="minor"/>
    </font>
    <font>
      <b/>
      <sz val="11"/>
      <color rgb="FF00B050"/>
      <name val="Calibri"/>
      <family val="2"/>
      <scheme val="minor"/>
    </font>
    <font>
      <sz val="11"/>
      <color rgb="FFC00000"/>
      <name val="Calibri"/>
      <family val="2"/>
      <scheme val="minor"/>
    </font>
    <font>
      <i/>
      <sz val="11"/>
      <color theme="6"/>
      <name val="Calibri"/>
      <family val="2"/>
      <scheme val="minor"/>
    </font>
    <font>
      <b/>
      <sz val="11"/>
      <color rgb="FFC00000"/>
      <name val="Calibri"/>
      <family val="2"/>
      <scheme val="minor"/>
    </font>
    <font>
      <b/>
      <sz val="11"/>
      <color theme="0"/>
      <name val="Calibri"/>
      <family val="2"/>
      <scheme val="minor"/>
    </font>
    <font>
      <u/>
      <sz val="11"/>
      <color theme="10"/>
      <name val="Calibri"/>
      <family val="2"/>
      <scheme val="minor"/>
    </font>
    <font>
      <i/>
      <sz val="11"/>
      <color rgb="FF7F7F7F"/>
      <name val="Calibri"/>
      <family val="2"/>
      <scheme val="minor"/>
    </font>
    <font>
      <i/>
      <sz val="11"/>
      <color rgb="FFC00000"/>
      <name val="Calibri"/>
      <family val="2"/>
      <scheme val="minor"/>
    </font>
    <font>
      <i/>
      <sz val="11"/>
      <color rgb="FF00B050"/>
      <name val="Calibri"/>
      <family val="2"/>
      <scheme val="minor"/>
    </font>
    <font>
      <sz val="11"/>
      <color indexed="8"/>
      <name val="Calibri"/>
      <family val="2"/>
      <scheme val="minor"/>
    </font>
    <font>
      <b/>
      <sz val="11"/>
      <color rgb="FF7030A0"/>
      <name val="Calibri"/>
      <family val="2"/>
      <scheme val="minor"/>
    </font>
    <font>
      <sz val="11"/>
      <color theme="9"/>
      <name val="Calibri"/>
      <family val="2"/>
      <scheme val="minor"/>
    </font>
    <font>
      <b/>
      <sz val="14"/>
      <color rgb="FF00B050"/>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2"/>
        <bgColor indexed="64"/>
      </patternFill>
    </fill>
    <fill>
      <patternFill patternType="solid">
        <fgColor rgb="FFA5A5A5"/>
      </patternFill>
    </fill>
    <fill>
      <patternFill patternType="solid">
        <fgColor theme="0" tint="-0.14999847407452621"/>
        <bgColor indexed="64"/>
      </patternFill>
    </fill>
    <fill>
      <patternFill patternType="solid">
        <fgColor theme="0" tint="-0.499984740745262"/>
        <bgColor indexed="64"/>
      </patternFill>
    </fill>
  </fills>
  <borders count="1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double">
        <color rgb="FF3F3F3F"/>
      </left>
      <right style="double">
        <color rgb="FF3F3F3F"/>
      </right>
      <top style="double">
        <color rgb="FF3F3F3F"/>
      </top>
      <bottom style="double">
        <color rgb="FF3F3F3F"/>
      </bottom>
      <diagonal/>
    </border>
    <border>
      <left/>
      <right/>
      <top/>
      <bottom style="thin">
        <color theme="0" tint="-0.14996795556505021"/>
      </bottom>
      <diagonal/>
    </border>
    <border>
      <left/>
      <right style="double">
        <color rgb="FF3F3F3F"/>
      </right>
      <top style="double">
        <color rgb="FF3F3F3F"/>
      </top>
      <bottom style="double">
        <color rgb="FF3F3F3F"/>
      </bottom>
      <diagonal/>
    </border>
  </borders>
  <cellStyleXfs count="11">
    <xf numFmtId="0" fontId="0" fillId="0" borderId="0"/>
    <xf numFmtId="166" fontId="2" fillId="0" borderId="0" applyFont="0" applyFill="0" applyBorder="0" applyAlignment="0" applyProtection="0"/>
    <xf numFmtId="9" fontId="2" fillId="0" borderId="0" applyFont="0" applyFill="0" applyBorder="0" applyAlignment="0" applyProtection="0"/>
    <xf numFmtId="0" fontId="14" fillId="4" borderId="0" applyNumberFormat="0" applyBorder="0" applyAlignment="0" applyProtection="0"/>
    <xf numFmtId="0" fontId="15" fillId="5" borderId="0" applyNumberFormat="0" applyBorder="0" applyAlignment="0" applyProtection="0"/>
    <xf numFmtId="0" fontId="16" fillId="6" borderId="0" applyNumberFormat="0" applyBorder="0" applyAlignment="0" applyProtection="0"/>
    <xf numFmtId="170" fontId="25" fillId="8" borderId="16"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 fillId="0" borderId="0"/>
    <xf numFmtId="0" fontId="30" fillId="0" borderId="0"/>
  </cellStyleXfs>
  <cellXfs count="380">
    <xf numFmtId="0" fontId="0" fillId="0" borderId="0" xfId="0"/>
    <xf numFmtId="0" fontId="1" fillId="0" borderId="0" xfId="0" applyFont="1"/>
    <xf numFmtId="2" fontId="0" fillId="0" borderId="0" xfId="0" applyNumberFormat="1"/>
    <xf numFmtId="0" fontId="0" fillId="0" borderId="0" xfId="0" applyAlignment="1">
      <alignment horizontal="right"/>
    </xf>
    <xf numFmtId="1" fontId="0" fillId="0" borderId="0" xfId="0" applyNumberFormat="1"/>
    <xf numFmtId="0" fontId="4" fillId="0" borderId="0" xfId="0" applyFont="1"/>
    <xf numFmtId="0" fontId="5" fillId="0" borderId="0" xfId="0" applyFont="1"/>
    <xf numFmtId="165" fontId="0" fillId="0" borderId="0" xfId="0" applyNumberFormat="1"/>
    <xf numFmtId="0" fontId="6" fillId="0" borderId="0" xfId="0" applyFont="1"/>
    <xf numFmtId="0" fontId="1" fillId="0" borderId="0" xfId="0" applyFont="1" applyAlignment="1">
      <alignment vertical="center"/>
    </xf>
    <xf numFmtId="169" fontId="0" fillId="0" borderId="0" xfId="0" applyNumberFormat="1"/>
    <xf numFmtId="0" fontId="3" fillId="0" borderId="0" xfId="0" applyFont="1"/>
    <xf numFmtId="0" fontId="0" fillId="0" borderId="7" xfId="0" applyBorder="1"/>
    <xf numFmtId="0" fontId="0" fillId="0" borderId="6" xfId="0" applyBorder="1"/>
    <xf numFmtId="0" fontId="5" fillId="0" borderId="0" xfId="0" applyFont="1" applyAlignment="1">
      <alignment horizontal="left"/>
    </xf>
    <xf numFmtId="0" fontId="0" fillId="0" borderId="0" xfId="0" applyAlignment="1">
      <alignment horizontal="left"/>
    </xf>
    <xf numFmtId="0" fontId="3" fillId="0" borderId="0" xfId="0" applyFont="1" applyAlignment="1">
      <alignment horizontal="right"/>
    </xf>
    <xf numFmtId="0" fontId="13" fillId="3" borderId="8" xfId="0" applyFont="1" applyFill="1" applyBorder="1"/>
    <xf numFmtId="0" fontId="1" fillId="3" borderId="8" xfId="0" applyFont="1" applyFill="1" applyBorder="1" applyAlignment="1">
      <alignment horizontal="left"/>
    </xf>
    <xf numFmtId="9" fontId="0" fillId="0" borderId="0" xfId="0" applyNumberFormat="1"/>
    <xf numFmtId="0" fontId="6" fillId="0" borderId="0" xfId="0" applyFont="1" applyAlignment="1">
      <alignment horizontal="left"/>
    </xf>
    <xf numFmtId="49" fontId="3" fillId="0" borderId="0" xfId="0" applyNumberFormat="1" applyFont="1"/>
    <xf numFmtId="0" fontId="1" fillId="0" borderId="0" xfId="0" applyFont="1" applyAlignment="1">
      <alignment horizontal="right"/>
    </xf>
    <xf numFmtId="2" fontId="0" fillId="0" borderId="0" xfId="0" applyNumberFormat="1" applyAlignment="1">
      <alignment horizontal="right"/>
    </xf>
    <xf numFmtId="1" fontId="1" fillId="3" borderId="12" xfId="0" applyNumberFormat="1" applyFont="1" applyFill="1" applyBorder="1" applyAlignment="1">
      <alignment horizontal="right" wrapText="1"/>
    </xf>
    <xf numFmtId="10" fontId="0" fillId="0" borderId="0" xfId="2" applyNumberFormat="1" applyFont="1" applyFill="1" applyBorder="1" applyAlignment="1">
      <alignment horizontal="right"/>
    </xf>
    <xf numFmtId="0" fontId="1" fillId="3" borderId="8" xfId="0" applyFont="1" applyFill="1" applyBorder="1" applyAlignment="1">
      <alignment vertical="top" wrapText="1"/>
    </xf>
    <xf numFmtId="0" fontId="1" fillId="3" borderId="8" xfId="0" applyFont="1" applyFill="1" applyBorder="1" applyAlignment="1">
      <alignment vertical="top"/>
    </xf>
    <xf numFmtId="0" fontId="1" fillId="3" borderId="8" xfId="0" applyFont="1" applyFill="1" applyBorder="1" applyAlignment="1">
      <alignment horizontal="right" vertical="top" wrapText="1"/>
    </xf>
    <xf numFmtId="0" fontId="1" fillId="3" borderId="13" xfId="0" applyFont="1" applyFill="1" applyBorder="1" applyAlignment="1">
      <alignment vertical="top"/>
    </xf>
    <xf numFmtId="0" fontId="1" fillId="3" borderId="3" xfId="0" applyFont="1" applyFill="1" applyBorder="1" applyAlignment="1">
      <alignment horizontal="right"/>
    </xf>
    <xf numFmtId="0" fontId="1" fillId="3" borderId="5" xfId="0" applyFont="1" applyFill="1" applyBorder="1" applyAlignment="1">
      <alignment horizontal="right" vertical="center" wrapText="1"/>
    </xf>
    <xf numFmtId="0" fontId="1" fillId="3" borderId="6" xfId="0" applyFont="1" applyFill="1" applyBorder="1" applyAlignment="1">
      <alignment horizontal="right" vertical="center" wrapText="1"/>
    </xf>
    <xf numFmtId="0" fontId="1" fillId="3" borderId="3" xfId="0" applyFont="1" applyFill="1" applyBorder="1"/>
    <xf numFmtId="0" fontId="9" fillId="0" borderId="8" xfId="0" applyFont="1" applyBorder="1"/>
    <xf numFmtId="0" fontId="9" fillId="0" borderId="8" xfId="0" applyFont="1" applyBorder="1" applyAlignment="1">
      <alignment wrapText="1"/>
    </xf>
    <xf numFmtId="0" fontId="5" fillId="3" borderId="9" xfId="0" applyFont="1" applyFill="1" applyBorder="1" applyAlignment="1">
      <alignment horizontal="left"/>
    </xf>
    <xf numFmtId="0" fontId="5" fillId="3" borderId="10" xfId="0" applyFont="1" applyFill="1" applyBorder="1" applyAlignment="1">
      <alignment horizontal="left"/>
    </xf>
    <xf numFmtId="0" fontId="0" fillId="0" borderId="3" xfId="0" applyBorder="1"/>
    <xf numFmtId="0" fontId="1" fillId="3" borderId="12" xfId="0" applyFont="1" applyFill="1" applyBorder="1" applyAlignment="1">
      <alignment horizontal="right" wrapText="1"/>
    </xf>
    <xf numFmtId="1" fontId="1" fillId="3" borderId="13" xfId="0" applyNumberFormat="1" applyFont="1" applyFill="1" applyBorder="1" applyAlignment="1">
      <alignment horizontal="right"/>
    </xf>
    <xf numFmtId="0" fontId="1" fillId="0" borderId="0" xfId="0" applyFont="1" applyAlignment="1">
      <alignment horizontal="left"/>
    </xf>
    <xf numFmtId="0" fontId="3" fillId="3" borderId="1" xfId="0" applyFont="1" applyFill="1" applyBorder="1" applyAlignment="1">
      <alignment horizontal="left"/>
    </xf>
    <xf numFmtId="0" fontId="3" fillId="3" borderId="15" xfId="0" applyFont="1" applyFill="1" applyBorder="1" applyAlignment="1">
      <alignment horizontal="left"/>
    </xf>
    <xf numFmtId="0" fontId="3" fillId="3" borderId="4" xfId="0" applyFont="1" applyFill="1" applyBorder="1" applyAlignment="1">
      <alignment horizontal="left"/>
    </xf>
    <xf numFmtId="0" fontId="18" fillId="0" borderId="0" xfId="0" applyFont="1"/>
    <xf numFmtId="0" fontId="13" fillId="3" borderId="8" xfId="0" applyFont="1" applyFill="1" applyBorder="1" applyAlignment="1">
      <alignment horizontal="right"/>
    </xf>
    <xf numFmtId="0" fontId="10" fillId="0" borderId="0" xfId="0" applyFont="1"/>
    <xf numFmtId="165" fontId="20" fillId="0" borderId="8" xfId="0" applyNumberFormat="1" applyFont="1" applyBorder="1"/>
    <xf numFmtId="2" fontId="20" fillId="0" borderId="2" xfId="0" applyNumberFormat="1" applyFont="1" applyBorder="1" applyAlignment="1">
      <alignment horizontal="right"/>
    </xf>
    <xf numFmtId="2" fontId="20" fillId="0" borderId="3" xfId="0" applyNumberFormat="1" applyFont="1" applyBorder="1" applyAlignment="1">
      <alignment horizontal="right"/>
    </xf>
    <xf numFmtId="2" fontId="20" fillId="0" borderId="7" xfId="0" applyNumberFormat="1" applyFont="1" applyBorder="1" applyAlignment="1">
      <alignment horizontal="right"/>
    </xf>
    <xf numFmtId="2" fontId="20" fillId="0" borderId="5" xfId="0" applyNumberFormat="1" applyFont="1" applyBorder="1" applyAlignment="1">
      <alignment horizontal="right"/>
    </xf>
    <xf numFmtId="2" fontId="20" fillId="0" borderId="6" xfId="0" applyNumberFormat="1" applyFont="1" applyBorder="1" applyAlignment="1">
      <alignment horizontal="right"/>
    </xf>
    <xf numFmtId="10" fontId="11" fillId="0" borderId="5" xfId="2" applyNumberFormat="1" applyFont="1" applyFill="1" applyBorder="1" applyAlignment="1">
      <alignment horizontal="right"/>
    </xf>
    <xf numFmtId="10" fontId="11" fillId="0" borderId="6" xfId="2" applyNumberFormat="1" applyFont="1" applyFill="1" applyBorder="1" applyAlignment="1">
      <alignment horizontal="right"/>
    </xf>
    <xf numFmtId="167" fontId="20" fillId="0" borderId="0" xfId="0" applyNumberFormat="1" applyFont="1" applyAlignment="1">
      <alignment horizontal="right"/>
    </xf>
    <xf numFmtId="167" fontId="20" fillId="0" borderId="7" xfId="0" applyNumberFormat="1" applyFont="1" applyBorder="1" applyAlignment="1">
      <alignment horizontal="right"/>
    </xf>
    <xf numFmtId="167" fontId="20" fillId="0" borderId="5" xfId="0" applyNumberFormat="1" applyFont="1" applyBorder="1" applyAlignment="1">
      <alignment horizontal="right"/>
    </xf>
    <xf numFmtId="167" fontId="20" fillId="2" borderId="6" xfId="0" applyNumberFormat="1" applyFont="1" applyFill="1" applyBorder="1" applyAlignment="1">
      <alignment horizontal="right"/>
    </xf>
    <xf numFmtId="0" fontId="1" fillId="3" borderId="10" xfId="0" applyFont="1" applyFill="1" applyBorder="1" applyAlignment="1">
      <alignment vertical="center"/>
    </xf>
    <xf numFmtId="0" fontId="23" fillId="0" borderId="0" xfId="0" applyFont="1"/>
    <xf numFmtId="0" fontId="3" fillId="0" borderId="0" xfId="0" applyFont="1" applyAlignment="1">
      <alignment horizontal="left"/>
    </xf>
    <xf numFmtId="10" fontId="19" fillId="0" borderId="0" xfId="0" applyNumberFormat="1" applyFont="1" applyAlignment="1">
      <alignment horizontal="left"/>
    </xf>
    <xf numFmtId="0" fontId="22" fillId="0" borderId="0" xfId="0" applyFont="1" applyAlignment="1">
      <alignment horizontal="left" vertical="top" wrapText="1"/>
    </xf>
    <xf numFmtId="2" fontId="20" fillId="0" borderId="0" xfId="0" applyNumberFormat="1" applyFont="1" applyAlignment="1">
      <alignment horizontal="left"/>
    </xf>
    <xf numFmtId="0" fontId="0" fillId="0" borderId="0" xfId="0" applyAlignment="1">
      <alignment wrapText="1"/>
    </xf>
    <xf numFmtId="168" fontId="20" fillId="0" borderId="0" xfId="2" applyNumberFormat="1" applyFont="1" applyFill="1" applyBorder="1" applyAlignment="1">
      <alignment horizontal="left"/>
    </xf>
    <xf numFmtId="0" fontId="22" fillId="7" borderId="0" xfId="0" applyFont="1" applyFill="1" applyAlignment="1">
      <alignment horizontal="left"/>
    </xf>
    <xf numFmtId="0" fontId="0" fillId="7" borderId="0" xfId="0" applyFill="1"/>
    <xf numFmtId="0" fontId="22" fillId="7" borderId="0" xfId="0" applyFont="1" applyFill="1"/>
    <xf numFmtId="0" fontId="1" fillId="3" borderId="2" xfId="0" applyFont="1" applyFill="1" applyBorder="1" applyAlignment="1">
      <alignment horizontal="right" vertical="center" wrapText="1"/>
    </xf>
    <xf numFmtId="0" fontId="1" fillId="3" borderId="3" xfId="0" applyFont="1" applyFill="1" applyBorder="1" applyAlignment="1">
      <alignment horizontal="right" vertical="center" wrapText="1"/>
    </xf>
    <xf numFmtId="0" fontId="1" fillId="3" borderId="13" xfId="0" applyFont="1" applyFill="1" applyBorder="1" applyAlignment="1">
      <alignment horizontal="right" vertical="center" wrapText="1"/>
    </xf>
    <xf numFmtId="0" fontId="1" fillId="3" borderId="12" xfId="0" applyFont="1" applyFill="1" applyBorder="1" applyAlignment="1">
      <alignment horizontal="right" vertical="center" wrapText="1"/>
    </xf>
    <xf numFmtId="167" fontId="20" fillId="2" borderId="5" xfId="0" applyNumberFormat="1" applyFont="1" applyFill="1" applyBorder="1" applyAlignment="1">
      <alignment horizontal="right"/>
    </xf>
    <xf numFmtId="0" fontId="1" fillId="3" borderId="13" xfId="0" applyFont="1" applyFill="1" applyBorder="1" applyAlignment="1">
      <alignment horizontal="right" vertical="top" wrapText="1"/>
    </xf>
    <xf numFmtId="0" fontId="1" fillId="3" borderId="12" xfId="0" applyFont="1" applyFill="1" applyBorder="1" applyAlignment="1">
      <alignment horizontal="right" vertical="center"/>
    </xf>
    <xf numFmtId="0" fontId="1" fillId="3" borderId="13" xfId="0" applyFont="1" applyFill="1" applyBorder="1" applyAlignment="1">
      <alignment horizontal="right"/>
    </xf>
    <xf numFmtId="10" fontId="20" fillId="0" borderId="2" xfId="2" applyNumberFormat="1" applyFont="1" applyBorder="1" applyAlignment="1">
      <alignment horizontal="right"/>
    </xf>
    <xf numFmtId="10" fontId="20" fillId="0" borderId="0" xfId="2" applyNumberFormat="1" applyFont="1" applyBorder="1" applyAlignment="1">
      <alignment horizontal="right"/>
    </xf>
    <xf numFmtId="10" fontId="20" fillId="0" borderId="4" xfId="2" applyNumberFormat="1" applyFont="1" applyBorder="1" applyAlignment="1">
      <alignment horizontal="right"/>
    </xf>
    <xf numFmtId="167" fontId="20" fillId="2" borderId="0" xfId="0" applyNumberFormat="1" applyFont="1" applyFill="1" applyAlignment="1">
      <alignment horizontal="right"/>
    </xf>
    <xf numFmtId="2" fontId="20" fillId="0" borderId="8" xfId="0" applyNumberFormat="1" applyFont="1" applyBorder="1" applyAlignment="1">
      <alignment horizontal="right"/>
    </xf>
    <xf numFmtId="9" fontId="7" fillId="0" borderId="7" xfId="0" applyNumberFormat="1" applyFont="1" applyBorder="1" applyAlignment="1">
      <alignment horizontal="right"/>
    </xf>
    <xf numFmtId="9" fontId="7" fillId="0" borderId="6" xfId="0" applyNumberFormat="1" applyFont="1" applyBorder="1" applyAlignment="1">
      <alignment horizontal="right"/>
    </xf>
    <xf numFmtId="2" fontId="7" fillId="0" borderId="9" xfId="4" applyNumberFormat="1" applyFont="1" applyFill="1" applyBorder="1" applyAlignment="1">
      <alignment horizontal="right"/>
    </xf>
    <xf numFmtId="0" fontId="0" fillId="0" borderId="2" xfId="0" applyBorder="1" applyAlignment="1">
      <alignment horizontal="right"/>
    </xf>
    <xf numFmtId="2" fontId="7" fillId="0" borderId="14" xfId="4" applyNumberFormat="1" applyFont="1" applyFill="1" applyBorder="1" applyAlignment="1">
      <alignment horizontal="right"/>
    </xf>
    <xf numFmtId="0" fontId="3" fillId="3" borderId="14" xfId="0" applyFont="1" applyFill="1" applyBorder="1" applyAlignment="1">
      <alignment horizontal="left"/>
    </xf>
    <xf numFmtId="0" fontId="3" fillId="3" borderId="10" xfId="0" applyFont="1" applyFill="1" applyBorder="1" applyAlignment="1">
      <alignment horizontal="left"/>
    </xf>
    <xf numFmtId="0" fontId="1" fillId="3" borderId="11" xfId="0" applyFont="1" applyFill="1" applyBorder="1" applyAlignment="1">
      <alignment horizontal="right" vertical="center"/>
    </xf>
    <xf numFmtId="0" fontId="1" fillId="3" borderId="13" xfId="0" applyFont="1" applyFill="1" applyBorder="1" applyAlignment="1">
      <alignment horizontal="right" vertical="center"/>
    </xf>
    <xf numFmtId="2" fontId="20" fillId="2" borderId="2" xfId="0" applyNumberFormat="1" applyFont="1" applyFill="1" applyBorder="1" applyAlignment="1">
      <alignment horizontal="right"/>
    </xf>
    <xf numFmtId="1" fontId="1" fillId="3" borderId="10" xfId="0" applyNumberFormat="1" applyFont="1" applyFill="1" applyBorder="1" applyAlignment="1">
      <alignment horizontal="left" vertical="center" wrapText="1"/>
    </xf>
    <xf numFmtId="0" fontId="1" fillId="3" borderId="10" xfId="0" applyFont="1" applyFill="1" applyBorder="1" applyAlignment="1">
      <alignment horizontal="left" vertical="center" wrapText="1"/>
    </xf>
    <xf numFmtId="166" fontId="20" fillId="0" borderId="2" xfId="1" applyFont="1" applyBorder="1" applyAlignment="1">
      <alignment horizontal="right"/>
    </xf>
    <xf numFmtId="166" fontId="20" fillId="0" borderId="3" xfId="1" applyFont="1" applyBorder="1" applyAlignment="1">
      <alignment horizontal="right"/>
    </xf>
    <xf numFmtId="166" fontId="20" fillId="0" borderId="0" xfId="1" applyFont="1" applyBorder="1" applyAlignment="1">
      <alignment horizontal="right"/>
    </xf>
    <xf numFmtId="166" fontId="20" fillId="0" borderId="7" xfId="1" applyFont="1" applyBorder="1" applyAlignment="1">
      <alignment horizontal="right"/>
    </xf>
    <xf numFmtId="166" fontId="20" fillId="0" borderId="5" xfId="1" applyFont="1" applyBorder="1" applyAlignment="1">
      <alignment horizontal="right"/>
    </xf>
    <xf numFmtId="166" fontId="20" fillId="0" borderId="6" xfId="1" applyFont="1" applyBorder="1" applyAlignment="1">
      <alignment horizontal="right"/>
    </xf>
    <xf numFmtId="166" fontId="20" fillId="0" borderId="12" xfId="1" applyFont="1" applyFill="1" applyBorder="1" applyAlignment="1">
      <alignment horizontal="right"/>
    </xf>
    <xf numFmtId="166" fontId="20" fillId="0" borderId="13" xfId="1" applyFont="1" applyFill="1" applyBorder="1" applyAlignment="1">
      <alignment horizontal="right"/>
    </xf>
    <xf numFmtId="166" fontId="20" fillId="0" borderId="2" xfId="1" applyFont="1" applyFill="1" applyBorder="1" applyAlignment="1">
      <alignment horizontal="right"/>
    </xf>
    <xf numFmtId="166" fontId="20" fillId="0" borderId="3" xfId="1" applyFont="1" applyFill="1" applyBorder="1" applyAlignment="1">
      <alignment horizontal="right"/>
    </xf>
    <xf numFmtId="166" fontId="20" fillId="0" borderId="0" xfId="1" applyFont="1" applyFill="1" applyBorder="1" applyAlignment="1">
      <alignment horizontal="right"/>
    </xf>
    <xf numFmtId="166" fontId="20" fillId="0" borderId="7" xfId="1" applyFont="1" applyFill="1" applyBorder="1" applyAlignment="1">
      <alignment horizontal="right"/>
    </xf>
    <xf numFmtId="166" fontId="20" fillId="0" borderId="5" xfId="1" applyFont="1" applyFill="1" applyBorder="1" applyAlignment="1">
      <alignment horizontal="right"/>
    </xf>
    <xf numFmtId="166" fontId="20" fillId="0" borderId="6" xfId="1" applyFont="1" applyFill="1" applyBorder="1" applyAlignment="1">
      <alignment horizontal="right"/>
    </xf>
    <xf numFmtId="167" fontId="11" fillId="0" borderId="8" xfId="1" applyNumberFormat="1" applyFont="1" applyFill="1" applyBorder="1" applyAlignment="1">
      <alignment vertical="top"/>
    </xf>
    <xf numFmtId="166" fontId="11" fillId="0" borderId="2" xfId="1" applyFont="1" applyFill="1" applyBorder="1" applyAlignment="1">
      <alignment horizontal="right"/>
    </xf>
    <xf numFmtId="166" fontId="11" fillId="0" borderId="3" xfId="1" applyFont="1" applyFill="1" applyBorder="1" applyAlignment="1">
      <alignment horizontal="right"/>
    </xf>
    <xf numFmtId="166" fontId="11" fillId="0" borderId="0" xfId="1" applyFont="1" applyFill="1" applyBorder="1" applyAlignment="1">
      <alignment horizontal="right"/>
    </xf>
    <xf numFmtId="166" fontId="11" fillId="0" borderId="7" xfId="1" applyFont="1" applyFill="1" applyBorder="1" applyAlignment="1">
      <alignment horizontal="right"/>
    </xf>
    <xf numFmtId="166" fontId="11" fillId="0" borderId="5" xfId="1" applyFont="1" applyFill="1" applyBorder="1" applyAlignment="1">
      <alignment horizontal="right"/>
    </xf>
    <xf numFmtId="166" fontId="11" fillId="0" borderId="6" xfId="1" applyFont="1" applyFill="1" applyBorder="1" applyAlignment="1">
      <alignment horizontal="right"/>
    </xf>
    <xf numFmtId="0" fontId="8" fillId="0" borderId="8" xfId="0" applyFont="1" applyBorder="1" applyAlignment="1">
      <alignment vertical="top"/>
    </xf>
    <xf numFmtId="0" fontId="0" fillId="0" borderId="8" xfId="0" applyBorder="1" applyAlignment="1">
      <alignment vertical="top"/>
    </xf>
    <xf numFmtId="0" fontId="9" fillId="0" borderId="8" xfId="0" applyFont="1" applyBorder="1" applyAlignment="1">
      <alignment vertical="top" wrapText="1"/>
    </xf>
    <xf numFmtId="0" fontId="7" fillId="0" borderId="8" xfId="0" applyFont="1" applyBorder="1" applyAlignment="1">
      <alignment vertical="top" wrapText="1"/>
    </xf>
    <xf numFmtId="166" fontId="7" fillId="0" borderId="6" xfId="1" applyFont="1" applyBorder="1" applyAlignment="1">
      <alignment horizontal="right" vertical="top"/>
    </xf>
    <xf numFmtId="0" fontId="7" fillId="0" borderId="6" xfId="0" applyFont="1" applyBorder="1" applyAlignment="1">
      <alignment horizontal="right" vertical="top"/>
    </xf>
    <xf numFmtId="0" fontId="1" fillId="3" borderId="8" xfId="0" applyFont="1" applyFill="1" applyBorder="1" applyAlignment="1">
      <alignment horizontal="right"/>
    </xf>
    <xf numFmtId="0" fontId="3" fillId="3" borderId="9" xfId="0" applyFont="1" applyFill="1" applyBorder="1" applyAlignment="1">
      <alignment horizontal="left"/>
    </xf>
    <xf numFmtId="0" fontId="1" fillId="3" borderId="8" xfId="0" applyFont="1" applyFill="1" applyBorder="1"/>
    <xf numFmtId="0" fontId="0" fillId="0" borderId="14" xfId="0" applyBorder="1" applyAlignment="1">
      <alignment vertical="top" wrapText="1"/>
    </xf>
    <xf numFmtId="0" fontId="0" fillId="0" borderId="10" xfId="0" applyBorder="1" applyAlignment="1">
      <alignment vertical="top" wrapText="1"/>
    </xf>
    <xf numFmtId="0" fontId="0" fillId="0" borderId="6" xfId="0" applyBorder="1" applyAlignment="1">
      <alignment horizontal="left" vertical="top" wrapText="1"/>
    </xf>
    <xf numFmtId="0" fontId="3" fillId="0" borderId="10" xfId="0" applyFont="1" applyBorder="1" applyAlignment="1">
      <alignment vertical="top" wrapText="1"/>
    </xf>
    <xf numFmtId="0" fontId="13" fillId="3" borderId="13" xfId="0" applyFont="1" applyFill="1" applyBorder="1" applyAlignment="1">
      <alignment horizontal="left"/>
    </xf>
    <xf numFmtId="0" fontId="0" fillId="0" borderId="6" xfId="0" applyBorder="1" applyAlignment="1">
      <alignment horizontal="left" vertical="top"/>
    </xf>
    <xf numFmtId="0" fontId="1" fillId="3" borderId="8" xfId="0" applyFont="1" applyFill="1" applyBorder="1" applyAlignment="1">
      <alignment horizontal="left" vertical="top"/>
    </xf>
    <xf numFmtId="1" fontId="4" fillId="3" borderId="8" xfId="0" applyNumberFormat="1" applyFont="1" applyFill="1" applyBorder="1" applyAlignment="1">
      <alignment horizontal="right" vertical="top" wrapText="1"/>
    </xf>
    <xf numFmtId="0" fontId="1" fillId="3" borderId="9" xfId="0" applyFont="1" applyFill="1" applyBorder="1" applyAlignment="1">
      <alignment horizontal="right" vertical="top" wrapText="1"/>
    </xf>
    <xf numFmtId="1" fontId="4" fillId="3" borderId="8" xfId="0" applyNumberFormat="1" applyFont="1" applyFill="1" applyBorder="1" applyAlignment="1">
      <alignment horizontal="right" vertical="top"/>
    </xf>
    <xf numFmtId="0" fontId="0" fillId="3" borderId="8" xfId="0" applyFill="1" applyBorder="1" applyAlignment="1">
      <alignment vertical="top"/>
    </xf>
    <xf numFmtId="1" fontId="17" fillId="0" borderId="9" xfId="0" applyNumberFormat="1" applyFont="1" applyBorder="1" applyAlignment="1">
      <alignment vertical="top" wrapText="1"/>
    </xf>
    <xf numFmtId="0" fontId="3" fillId="0" borderId="9" xfId="0" applyFont="1" applyBorder="1" applyAlignment="1">
      <alignment vertical="top" wrapText="1"/>
    </xf>
    <xf numFmtId="0" fontId="3" fillId="0" borderId="8" xfId="0" applyFont="1" applyBorder="1" applyAlignment="1">
      <alignment vertical="top" wrapText="1"/>
    </xf>
    <xf numFmtId="1" fontId="7" fillId="0" borderId="8" xfId="0" applyNumberFormat="1" applyFont="1" applyBorder="1" applyAlignment="1">
      <alignment horizontal="right" vertical="top"/>
    </xf>
    <xf numFmtId="49" fontId="3" fillId="0" borderId="8" xfId="0" applyNumberFormat="1" applyFont="1" applyBorder="1" applyAlignment="1">
      <alignment vertical="top"/>
    </xf>
    <xf numFmtId="0" fontId="1" fillId="3" borderId="13" xfId="0" applyFont="1" applyFill="1" applyBorder="1" applyAlignment="1">
      <alignment horizontal="right" vertical="top"/>
    </xf>
    <xf numFmtId="10" fontId="7" fillId="0" borderId="3" xfId="2" applyNumberFormat="1" applyFont="1" applyBorder="1" applyAlignment="1">
      <alignment horizontal="right" vertical="top"/>
    </xf>
    <xf numFmtId="10" fontId="7" fillId="0" borderId="7" xfId="2" applyNumberFormat="1" applyFont="1" applyBorder="1" applyAlignment="1">
      <alignment horizontal="right" vertical="top"/>
    </xf>
    <xf numFmtId="0" fontId="3" fillId="3" borderId="9" xfId="0" applyFont="1" applyFill="1" applyBorder="1" applyAlignment="1">
      <alignment horizontal="left" vertical="top"/>
    </xf>
    <xf numFmtId="0" fontId="3" fillId="3" borderId="14" xfId="0" applyFont="1" applyFill="1" applyBorder="1" applyAlignment="1">
      <alignment horizontal="left" vertical="top"/>
    </xf>
    <xf numFmtId="0" fontId="3" fillId="3" borderId="10" xfId="0" applyFont="1" applyFill="1" applyBorder="1" applyAlignment="1">
      <alignment horizontal="left" vertical="top"/>
    </xf>
    <xf numFmtId="10" fontId="7" fillId="0" borderId="3" xfId="0" applyNumberFormat="1" applyFont="1" applyBorder="1" applyAlignment="1">
      <alignment horizontal="right" vertical="top"/>
    </xf>
    <xf numFmtId="2" fontId="21" fillId="0" borderId="8" xfId="0" applyNumberFormat="1" applyFont="1" applyBorder="1" applyAlignment="1">
      <alignment horizontal="right" vertical="top"/>
    </xf>
    <xf numFmtId="0" fontId="1" fillId="3" borderId="8" xfId="0" applyFont="1" applyFill="1" applyBorder="1" applyAlignment="1">
      <alignment horizontal="left" vertical="top" wrapText="1"/>
    </xf>
    <xf numFmtId="0" fontId="20" fillId="0" borderId="3" xfId="0" applyFont="1" applyBorder="1" applyAlignment="1">
      <alignment horizontal="right" vertical="top"/>
    </xf>
    <xf numFmtId="0" fontId="20" fillId="0" borderId="7" xfId="0" applyFont="1" applyBorder="1" applyAlignment="1">
      <alignment horizontal="right" vertical="top"/>
    </xf>
    <xf numFmtId="168" fontId="20" fillId="0" borderId="7" xfId="2" applyNumberFormat="1" applyFont="1" applyFill="1" applyBorder="1" applyAlignment="1">
      <alignment horizontal="right" vertical="top"/>
    </xf>
    <xf numFmtId="168" fontId="20" fillId="0" borderId="6" xfId="2" applyNumberFormat="1" applyFont="1" applyFill="1" applyBorder="1" applyAlignment="1">
      <alignment horizontal="right" vertical="top"/>
    </xf>
    <xf numFmtId="0" fontId="1" fillId="3" borderId="9" xfId="0" applyFont="1" applyFill="1" applyBorder="1" applyAlignment="1">
      <alignment horizontal="left"/>
    </xf>
    <xf numFmtId="0" fontId="0" fillId="0" borderId="9" xfId="0" applyBorder="1" applyAlignment="1">
      <alignment horizontal="left" vertical="top" wrapText="1"/>
    </xf>
    <xf numFmtId="0" fontId="0" fillId="0" borderId="14" xfId="0" applyBorder="1" applyAlignment="1">
      <alignment horizontal="left" vertical="top"/>
    </xf>
    <xf numFmtId="0" fontId="0" fillId="0" borderId="14" xfId="0" applyBorder="1" applyAlignment="1">
      <alignment horizontal="left" vertical="top" wrapText="1"/>
    </xf>
    <xf numFmtId="2" fontId="0" fillId="0" borderId="10" xfId="0" applyNumberFormat="1" applyBorder="1" applyAlignment="1">
      <alignment horizontal="left" vertical="top" wrapText="1"/>
    </xf>
    <xf numFmtId="0" fontId="1" fillId="3" borderId="12" xfId="0" applyFont="1" applyFill="1" applyBorder="1" applyAlignment="1">
      <alignment horizontal="right" vertical="top" wrapText="1"/>
    </xf>
    <xf numFmtId="0" fontId="1" fillId="3" borderId="3" xfId="0" applyFont="1" applyFill="1" applyBorder="1" applyAlignment="1">
      <alignment horizontal="right" vertical="center"/>
    </xf>
    <xf numFmtId="2" fontId="21" fillId="0" borderId="3" xfId="0" applyNumberFormat="1" applyFont="1" applyBorder="1" applyAlignment="1">
      <alignment horizontal="right"/>
    </xf>
    <xf numFmtId="0" fontId="1" fillId="0" borderId="0" xfId="0" applyFont="1" applyAlignment="1">
      <alignment vertical="top"/>
    </xf>
    <xf numFmtId="0" fontId="7" fillId="0" borderId="9" xfId="4" applyFont="1" applyFill="1" applyBorder="1"/>
    <xf numFmtId="0" fontId="20" fillId="0" borderId="14" xfId="5" applyFont="1" applyFill="1" applyBorder="1"/>
    <xf numFmtId="0" fontId="11" fillId="0" borderId="14" xfId="3" applyFont="1" applyFill="1" applyBorder="1"/>
    <xf numFmtId="0" fontId="15" fillId="7" borderId="10" xfId="4" applyFill="1" applyBorder="1"/>
    <xf numFmtId="0" fontId="0" fillId="3" borderId="8" xfId="0" applyFill="1" applyBorder="1"/>
    <xf numFmtId="0" fontId="0" fillId="3" borderId="14" xfId="0" applyFill="1" applyBorder="1" applyAlignment="1">
      <alignment horizontal="left"/>
    </xf>
    <xf numFmtId="0" fontId="0" fillId="3" borderId="10" xfId="0" applyFill="1" applyBorder="1" applyAlignment="1">
      <alignment horizontal="left"/>
    </xf>
    <xf numFmtId="10" fontId="11" fillId="0" borderId="6" xfId="2" applyNumberFormat="1" applyFont="1" applyFill="1" applyBorder="1" applyAlignment="1">
      <alignment horizontal="right" vertical="top"/>
    </xf>
    <xf numFmtId="2" fontId="11" fillId="0" borderId="10" xfId="0" applyNumberFormat="1" applyFont="1" applyBorder="1" applyAlignment="1">
      <alignment horizontal="right" vertical="top"/>
    </xf>
    <xf numFmtId="0" fontId="1" fillId="3" borderId="14" xfId="0" applyFont="1" applyFill="1" applyBorder="1" applyAlignment="1">
      <alignment horizontal="left"/>
    </xf>
    <xf numFmtId="166" fontId="11" fillId="0" borderId="8" xfId="1" applyFont="1" applyFill="1" applyBorder="1" applyAlignment="1">
      <alignment horizontal="right" vertical="top"/>
    </xf>
    <xf numFmtId="10" fontId="11" fillId="0" borderId="8" xfId="2" applyNumberFormat="1" applyFont="1" applyFill="1" applyBorder="1" applyAlignment="1">
      <alignment horizontal="right" vertical="top"/>
    </xf>
    <xf numFmtId="9" fontId="1" fillId="3" borderId="13" xfId="2" applyFont="1" applyFill="1" applyBorder="1" applyAlignment="1">
      <alignment horizontal="right" vertical="top"/>
    </xf>
    <xf numFmtId="2" fontId="0" fillId="0" borderId="10" xfId="0" applyNumberFormat="1" applyBorder="1" applyAlignment="1">
      <alignment vertical="top" wrapText="1"/>
    </xf>
    <xf numFmtId="0" fontId="1" fillId="3" borderId="9" xfId="0" applyFont="1" applyFill="1" applyBorder="1" applyAlignment="1">
      <alignment vertical="center"/>
    </xf>
    <xf numFmtId="15" fontId="10" fillId="0" borderId="8" xfId="0" applyNumberFormat="1" applyFont="1" applyBorder="1" applyAlignment="1">
      <alignment horizontal="left"/>
    </xf>
    <xf numFmtId="1" fontId="1" fillId="3" borderId="12" xfId="0" applyNumberFormat="1" applyFont="1" applyFill="1" applyBorder="1" applyAlignment="1">
      <alignment horizontal="right" vertical="top" wrapText="1"/>
    </xf>
    <xf numFmtId="1" fontId="1" fillId="3" borderId="13" xfId="0" applyNumberFormat="1" applyFont="1" applyFill="1" applyBorder="1" applyAlignment="1">
      <alignment horizontal="right" vertical="top"/>
    </xf>
    <xf numFmtId="1" fontId="1" fillId="3" borderId="2" xfId="0" applyNumberFormat="1" applyFont="1" applyFill="1" applyBorder="1" applyAlignment="1">
      <alignment horizontal="right" vertical="top" wrapText="1"/>
    </xf>
    <xf numFmtId="0" fontId="1" fillId="3" borderId="2" xfId="0" applyFont="1" applyFill="1" applyBorder="1" applyAlignment="1">
      <alignment horizontal="right" vertical="top" wrapText="1"/>
    </xf>
    <xf numFmtId="1" fontId="1" fillId="3" borderId="3" xfId="0" applyNumberFormat="1" applyFont="1" applyFill="1" applyBorder="1" applyAlignment="1">
      <alignment horizontal="right" vertical="top"/>
    </xf>
    <xf numFmtId="0" fontId="3" fillId="0" borderId="13" xfId="0" applyFont="1" applyBorder="1" applyAlignment="1">
      <alignment vertical="top" wrapText="1"/>
    </xf>
    <xf numFmtId="0" fontId="0" fillId="0" borderId="13" xfId="0" applyBorder="1" applyAlignment="1">
      <alignment horizontal="left" vertical="top"/>
    </xf>
    <xf numFmtId="166" fontId="7" fillId="0" borderId="13" xfId="1" applyFont="1" applyBorder="1" applyAlignment="1">
      <alignment horizontal="right" vertical="top"/>
    </xf>
    <xf numFmtId="0" fontId="3" fillId="0" borderId="6" xfId="0" applyFont="1" applyBorder="1" applyAlignment="1">
      <alignment vertical="top" wrapText="1"/>
    </xf>
    <xf numFmtId="0" fontId="1" fillId="3" borderId="14"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0" fillId="0" borderId="8" xfId="0" applyFont="1" applyBorder="1" applyAlignment="1">
      <alignment wrapText="1"/>
    </xf>
    <xf numFmtId="0" fontId="0" fillId="2" borderId="0" xfId="0" applyFill="1"/>
    <xf numFmtId="9" fontId="7" fillId="0" borderId="3" xfId="0" applyNumberFormat="1" applyFont="1" applyBorder="1" applyAlignment="1">
      <alignment horizontal="right"/>
    </xf>
    <xf numFmtId="9" fontId="7" fillId="0" borderId="14" xfId="0" applyNumberFormat="1" applyFont="1" applyBorder="1" applyAlignment="1">
      <alignment horizontal="right"/>
    </xf>
    <xf numFmtId="9" fontId="20" fillId="0" borderId="7" xfId="0" applyNumberFormat="1" applyFont="1" applyBorder="1" applyAlignment="1">
      <alignment horizontal="right"/>
    </xf>
    <xf numFmtId="9" fontId="20" fillId="0" borderId="10" xfId="0" applyNumberFormat="1" applyFont="1" applyBorder="1" applyAlignment="1">
      <alignment horizontal="right"/>
    </xf>
    <xf numFmtId="170" fontId="25" fillId="8" borderId="16" xfId="6"/>
    <xf numFmtId="0" fontId="7" fillId="0" borderId="0" xfId="0" applyFont="1"/>
    <xf numFmtId="0" fontId="8" fillId="0" borderId="0" xfId="0" applyFont="1"/>
    <xf numFmtId="0" fontId="26" fillId="0" borderId="8" xfId="7" applyBorder="1" applyAlignment="1">
      <alignment vertical="top" wrapText="1"/>
    </xf>
    <xf numFmtId="10" fontId="7" fillId="0" borderId="7" xfId="2" applyNumberFormat="1" applyFont="1" applyFill="1" applyBorder="1" applyAlignment="1">
      <alignment horizontal="right" vertical="top"/>
    </xf>
    <xf numFmtId="10" fontId="7" fillId="0" borderId="14" xfId="2" applyNumberFormat="1" applyFont="1" applyFill="1" applyBorder="1" applyAlignment="1">
      <alignment horizontal="right" vertical="top"/>
    </xf>
    <xf numFmtId="10" fontId="7" fillId="0" borderId="14" xfId="2" applyNumberFormat="1" applyFont="1" applyBorder="1" applyAlignment="1">
      <alignment horizontal="right" vertical="top"/>
    </xf>
    <xf numFmtId="10" fontId="7" fillId="0" borderId="6" xfId="2" applyNumberFormat="1" applyFont="1" applyFill="1" applyBorder="1" applyAlignment="1">
      <alignment horizontal="right" vertical="top"/>
    </xf>
    <xf numFmtId="0" fontId="17" fillId="3" borderId="8" xfId="0" applyFont="1" applyFill="1" applyBorder="1"/>
    <xf numFmtId="0" fontId="3" fillId="0" borderId="7" xfId="0" applyFont="1" applyBorder="1"/>
    <xf numFmtId="0" fontId="7" fillId="0" borderId="5" xfId="0" applyFont="1" applyBorder="1"/>
    <xf numFmtId="0" fontId="3" fillId="0" borderId="6" xfId="0" applyFont="1" applyBorder="1"/>
    <xf numFmtId="0" fontId="7" fillId="0" borderId="7" xfId="0" applyFont="1" applyBorder="1"/>
    <xf numFmtId="0" fontId="20" fillId="0" borderId="0" xfId="0" applyFont="1"/>
    <xf numFmtId="0" fontId="20" fillId="0" borderId="7" xfId="0" applyFont="1" applyBorder="1"/>
    <xf numFmtId="0" fontId="20" fillId="0" borderId="5" xfId="0" applyFont="1" applyBorder="1"/>
    <xf numFmtId="0" fontId="20" fillId="0" borderId="6" xfId="0" applyFont="1" applyBorder="1"/>
    <xf numFmtId="2" fontId="20" fillId="0" borderId="14" xfId="4" applyNumberFormat="1" applyFont="1" applyFill="1" applyBorder="1" applyAlignment="1">
      <alignment horizontal="right"/>
    </xf>
    <xf numFmtId="0" fontId="0" fillId="0" borderId="9" xfId="0" applyBorder="1"/>
    <xf numFmtId="0" fontId="0" fillId="0" borderId="14" xfId="0" applyBorder="1"/>
    <xf numFmtId="0" fontId="0" fillId="0" borderId="10" xfId="0" applyBorder="1"/>
    <xf numFmtId="0" fontId="7" fillId="0" borderId="17" xfId="9" quotePrefix="1" applyFont="1" applyBorder="1"/>
    <xf numFmtId="0" fontId="22" fillId="7" borderId="0" xfId="0" applyFont="1" applyFill="1" applyAlignment="1">
      <alignment horizontal="left" vertical="top" wrapText="1"/>
    </xf>
    <xf numFmtId="0" fontId="27" fillId="0" borderId="0" xfId="8"/>
    <xf numFmtId="2" fontId="20" fillId="0" borderId="10" xfId="4" applyNumberFormat="1" applyFont="1" applyFill="1" applyBorder="1" applyAlignment="1">
      <alignment horizontal="right"/>
    </xf>
    <xf numFmtId="0" fontId="0" fillId="0" borderId="0" xfId="0" applyAlignment="1">
      <alignment horizontal="left" vertical="top"/>
    </xf>
    <xf numFmtId="0" fontId="0" fillId="3" borderId="9" xfId="0" applyFill="1" applyBorder="1"/>
    <xf numFmtId="0" fontId="0" fillId="3" borderId="14" xfId="0" applyFill="1" applyBorder="1"/>
    <xf numFmtId="0" fontId="0" fillId="3" borderId="10" xfId="0" applyFill="1" applyBorder="1"/>
    <xf numFmtId="0" fontId="7" fillId="0" borderId="9" xfId="0" applyFont="1" applyBorder="1"/>
    <xf numFmtId="0" fontId="7" fillId="0" borderId="14" xfId="0" applyFont="1" applyBorder="1"/>
    <xf numFmtId="0" fontId="7" fillId="0" borderId="10" xfId="0" applyFont="1" applyBorder="1"/>
    <xf numFmtId="2" fontId="20" fillId="0" borderId="0" xfId="0" applyNumberFormat="1" applyFont="1" applyAlignment="1">
      <alignment horizontal="right"/>
    </xf>
    <xf numFmtId="2" fontId="20" fillId="0" borderId="15" xfId="0" applyNumberFormat="1" applyFont="1" applyBorder="1" applyAlignment="1">
      <alignment horizontal="right"/>
    </xf>
    <xf numFmtId="9" fontId="20" fillId="0" borderId="0" xfId="2" applyFont="1" applyAlignment="1">
      <alignment horizontal="left"/>
    </xf>
    <xf numFmtId="0" fontId="1" fillId="3" borderId="8" xfId="0" applyFont="1" applyFill="1" applyBorder="1" applyAlignment="1">
      <alignment horizontal="left" wrapText="1"/>
    </xf>
    <xf numFmtId="0" fontId="1" fillId="3" borderId="13" xfId="0" applyFont="1" applyFill="1" applyBorder="1" applyAlignment="1">
      <alignment horizontal="left" vertical="top"/>
    </xf>
    <xf numFmtId="2" fontId="20" fillId="0" borderId="1" xfId="0" applyNumberFormat="1" applyFont="1" applyBorder="1" applyAlignment="1">
      <alignment horizontal="right"/>
    </xf>
    <xf numFmtId="2" fontId="20" fillId="0" borderId="4" xfId="0" applyNumberFormat="1" applyFont="1" applyBorder="1" applyAlignment="1">
      <alignment horizontal="right"/>
    </xf>
    <xf numFmtId="0" fontId="0" fillId="3" borderId="14" xfId="0" applyFill="1" applyBorder="1" applyAlignment="1">
      <alignment horizontal="right"/>
    </xf>
    <xf numFmtId="0" fontId="0" fillId="3" borderId="10" xfId="0" applyFill="1" applyBorder="1" applyAlignment="1">
      <alignment horizontal="right"/>
    </xf>
    <xf numFmtId="170" fontId="25" fillId="8" borderId="16" xfId="6" applyAlignment="1">
      <alignment horizontal="left"/>
    </xf>
    <xf numFmtId="0" fontId="28" fillId="0" borderId="0" xfId="0" applyFont="1" applyAlignment="1">
      <alignment horizontal="right"/>
    </xf>
    <xf numFmtId="1" fontId="28" fillId="0" borderId="0" xfId="0" applyNumberFormat="1" applyFont="1"/>
    <xf numFmtId="0" fontId="20" fillId="0" borderId="8" xfId="0" applyFont="1" applyBorder="1"/>
    <xf numFmtId="0" fontId="20" fillId="0" borderId="8" xfId="0" applyFont="1" applyBorder="1" applyAlignment="1">
      <alignment wrapText="1"/>
    </xf>
    <xf numFmtId="164" fontId="20" fillId="0" borderId="8" xfId="0" applyNumberFormat="1" applyFont="1" applyBorder="1" applyAlignment="1">
      <alignment wrapText="1"/>
    </xf>
    <xf numFmtId="0" fontId="13" fillId="3" borderId="7" xfId="0" applyFont="1" applyFill="1" applyBorder="1" applyAlignment="1">
      <alignment horizontal="left" wrapText="1"/>
    </xf>
    <xf numFmtId="0" fontId="26" fillId="0" borderId="6" xfId="7" applyBorder="1" applyAlignment="1">
      <alignment horizontal="left" vertical="top" wrapText="1"/>
    </xf>
    <xf numFmtId="167" fontId="0" fillId="0" borderId="0" xfId="0" applyNumberFormat="1"/>
    <xf numFmtId="0" fontId="1" fillId="3" borderId="3" xfId="0" applyFont="1" applyFill="1" applyBorder="1" applyAlignment="1">
      <alignment horizontal="right" vertical="top" wrapText="1"/>
    </xf>
    <xf numFmtId="166" fontId="20" fillId="0" borderId="1" xfId="1" applyFont="1" applyBorder="1" applyAlignment="1">
      <alignment horizontal="right"/>
    </xf>
    <xf numFmtId="166" fontId="20" fillId="0" borderId="15" xfId="1" applyFont="1" applyBorder="1" applyAlignment="1">
      <alignment horizontal="right"/>
    </xf>
    <xf numFmtId="166" fontId="20" fillId="0" borderId="4" xfId="1" applyFont="1" applyBorder="1" applyAlignment="1">
      <alignment horizontal="right"/>
    </xf>
    <xf numFmtId="0" fontId="20" fillId="0" borderId="0" xfId="0" applyFont="1" applyAlignment="1">
      <alignment horizontal="left"/>
    </xf>
    <xf numFmtId="0" fontId="1" fillId="3" borderId="14" xfId="0" applyFont="1" applyFill="1" applyBorder="1" applyAlignment="1">
      <alignment vertical="center"/>
    </xf>
    <xf numFmtId="0" fontId="1" fillId="3" borderId="9" xfId="0" applyFont="1" applyFill="1" applyBorder="1" applyAlignment="1">
      <alignment horizontal="left" vertical="top"/>
    </xf>
    <xf numFmtId="0" fontId="1" fillId="3" borderId="10" xfId="0" applyFont="1" applyFill="1" applyBorder="1" applyAlignment="1">
      <alignment horizontal="left"/>
    </xf>
    <xf numFmtId="1" fontId="1" fillId="3" borderId="9" xfId="0" applyNumberFormat="1" applyFont="1" applyFill="1" applyBorder="1" applyAlignment="1">
      <alignment vertical="center" wrapText="1"/>
    </xf>
    <xf numFmtId="0" fontId="1" fillId="3" borderId="9" xfId="0" applyFont="1" applyFill="1" applyBorder="1" applyAlignment="1">
      <alignment vertical="center" wrapText="1"/>
    </xf>
    <xf numFmtId="1" fontId="1" fillId="3" borderId="9" xfId="0" applyNumberFormat="1" applyFont="1" applyFill="1" applyBorder="1" applyAlignment="1">
      <alignment vertical="center"/>
    </xf>
    <xf numFmtId="0" fontId="1" fillId="3" borderId="9" xfId="0" applyFont="1" applyFill="1" applyBorder="1" applyAlignment="1">
      <alignment wrapText="1"/>
    </xf>
    <xf numFmtId="0" fontId="1" fillId="3" borderId="14" xfId="0" applyFont="1" applyFill="1" applyBorder="1" applyAlignment="1">
      <alignment wrapText="1"/>
    </xf>
    <xf numFmtId="0" fontId="1" fillId="3" borderId="10" xfId="0" applyFont="1" applyFill="1" applyBorder="1" applyAlignment="1">
      <alignment wrapText="1"/>
    </xf>
    <xf numFmtId="0" fontId="1" fillId="3" borderId="2" xfId="0" applyFont="1" applyFill="1" applyBorder="1" applyAlignment="1">
      <alignment horizontal="right"/>
    </xf>
    <xf numFmtId="0" fontId="7" fillId="0" borderId="0" xfId="0" applyFont="1" applyAlignment="1">
      <alignment horizontal="left"/>
    </xf>
    <xf numFmtId="0" fontId="20" fillId="0" borderId="0" xfId="2" applyNumberFormat="1" applyFont="1" applyAlignment="1">
      <alignment horizontal="left"/>
    </xf>
    <xf numFmtId="166" fontId="20" fillId="0" borderId="1" xfId="1" applyFont="1" applyFill="1" applyBorder="1" applyAlignment="1">
      <alignment horizontal="right"/>
    </xf>
    <xf numFmtId="166" fontId="20" fillId="0" borderId="15" xfId="1" applyFont="1" applyFill="1" applyBorder="1" applyAlignment="1">
      <alignment horizontal="right"/>
    </xf>
    <xf numFmtId="166" fontId="20" fillId="0" borderId="4" xfId="1" applyFont="1" applyFill="1" applyBorder="1" applyAlignment="1">
      <alignment horizontal="right"/>
    </xf>
    <xf numFmtId="0" fontId="1" fillId="3" borderId="11" xfId="0" applyFont="1" applyFill="1" applyBorder="1" applyAlignment="1">
      <alignment horizontal="left"/>
    </xf>
    <xf numFmtId="170" fontId="25" fillId="8" borderId="16" xfId="6" applyAlignment="1">
      <alignment horizontal="right"/>
    </xf>
    <xf numFmtId="0" fontId="28" fillId="0" borderId="0" xfId="0" applyFont="1" applyAlignment="1">
      <alignment horizontal="left"/>
    </xf>
    <xf numFmtId="0" fontId="11" fillId="0" borderId="1" xfId="0" applyFont="1" applyBorder="1" applyAlignment="1">
      <alignment horizontal="right"/>
    </xf>
    <xf numFmtId="0" fontId="11" fillId="0" borderId="2" xfId="0" applyFont="1" applyBorder="1" applyAlignment="1">
      <alignment horizontal="right"/>
    </xf>
    <xf numFmtId="0" fontId="11" fillId="0" borderId="3" xfId="0" applyFont="1" applyBorder="1" applyAlignment="1">
      <alignment horizontal="right"/>
    </xf>
    <xf numFmtId="0" fontId="11" fillId="0" borderId="15" xfId="0" applyFont="1" applyBorder="1" applyAlignment="1">
      <alignment horizontal="right"/>
    </xf>
    <xf numFmtId="0" fontId="11" fillId="0" borderId="0" xfId="0" applyFont="1" applyAlignment="1">
      <alignment horizontal="right"/>
    </xf>
    <xf numFmtId="0" fontId="11" fillId="0" borderId="7" xfId="0" applyFont="1" applyBorder="1" applyAlignment="1">
      <alignment horizontal="right"/>
    </xf>
    <xf numFmtId="0" fontId="31" fillId="0" borderId="11" xfId="0" applyFont="1" applyBorder="1" applyAlignment="1">
      <alignment horizontal="right"/>
    </xf>
    <xf numFmtId="0" fontId="31" fillId="0" borderId="12" xfId="0" applyFont="1" applyBorder="1" applyAlignment="1">
      <alignment horizontal="right"/>
    </xf>
    <xf numFmtId="0" fontId="31" fillId="0" borderId="13" xfId="0" applyFont="1" applyBorder="1" applyAlignment="1">
      <alignment horizontal="right"/>
    </xf>
    <xf numFmtId="0" fontId="0" fillId="10" borderId="0" xfId="0" applyFill="1"/>
    <xf numFmtId="2" fontId="20" fillId="10" borderId="0" xfId="0" applyNumberFormat="1" applyFont="1" applyFill="1" applyAlignment="1">
      <alignment horizontal="right"/>
    </xf>
    <xf numFmtId="1" fontId="0" fillId="10" borderId="0" xfId="0" applyNumberFormat="1" applyFill="1"/>
    <xf numFmtId="0" fontId="25" fillId="10" borderId="0" xfId="0" applyFont="1" applyFill="1"/>
    <xf numFmtId="0" fontId="32" fillId="0" borderId="0" xfId="0" applyFont="1"/>
    <xf numFmtId="0" fontId="28" fillId="0" borderId="0" xfId="0" applyFont="1"/>
    <xf numFmtId="1" fontId="0" fillId="3" borderId="14" xfId="0" applyNumberFormat="1" applyFill="1" applyBorder="1" applyAlignment="1">
      <alignment vertical="center" wrapText="1"/>
    </xf>
    <xf numFmtId="1" fontId="0" fillId="3" borderId="10" xfId="0" applyNumberFormat="1" applyFill="1" applyBorder="1" applyAlignment="1">
      <alignment vertical="center" wrapText="1"/>
    </xf>
    <xf numFmtId="0" fontId="0" fillId="3" borderId="14" xfId="0" applyFill="1" applyBorder="1" applyAlignment="1">
      <alignment vertical="center" wrapText="1"/>
    </xf>
    <xf numFmtId="0" fontId="0" fillId="3" borderId="10" xfId="0" applyFill="1" applyBorder="1" applyAlignment="1">
      <alignment vertical="center" wrapText="1"/>
    </xf>
    <xf numFmtId="1" fontId="0" fillId="3" borderId="14" xfId="0" applyNumberFormat="1" applyFill="1" applyBorder="1" applyAlignment="1">
      <alignment vertical="center"/>
    </xf>
    <xf numFmtId="1" fontId="0" fillId="3" borderId="10" xfId="0" applyNumberFormat="1" applyFill="1" applyBorder="1" applyAlignment="1">
      <alignment vertical="center"/>
    </xf>
    <xf numFmtId="166" fontId="11" fillId="0" borderId="4" xfId="1" applyFont="1" applyFill="1" applyBorder="1" applyAlignment="1">
      <alignment horizontal="right"/>
    </xf>
    <xf numFmtId="166" fontId="11" fillId="0" borderId="15" xfId="1" applyFont="1" applyFill="1" applyBorder="1" applyAlignment="1">
      <alignment horizontal="right"/>
    </xf>
    <xf numFmtId="170" fontId="25" fillId="8" borderId="18" xfId="6" applyBorder="1"/>
    <xf numFmtId="0" fontId="33" fillId="0" borderId="0" xfId="0" applyFont="1" applyAlignment="1">
      <alignment horizontal="left"/>
    </xf>
    <xf numFmtId="0" fontId="0" fillId="2" borderId="0" xfId="0" applyFill="1" applyAlignment="1">
      <alignment horizontal="right" wrapText="1"/>
    </xf>
    <xf numFmtId="167" fontId="20" fillId="2" borderId="15" xfId="0" applyNumberFormat="1" applyFont="1" applyFill="1" applyBorder="1" applyAlignment="1">
      <alignment horizontal="right"/>
    </xf>
    <xf numFmtId="167" fontId="20" fillId="2" borderId="7" xfId="0" applyNumberFormat="1" applyFont="1" applyFill="1" applyBorder="1" applyAlignment="1">
      <alignment horizontal="right"/>
    </xf>
    <xf numFmtId="167" fontId="20" fillId="0" borderId="2" xfId="0" applyNumberFormat="1" applyFont="1" applyBorder="1" applyAlignment="1">
      <alignment horizontal="right"/>
    </xf>
    <xf numFmtId="167" fontId="20" fillId="0" borderId="3" xfId="0" applyNumberFormat="1" applyFont="1" applyBorder="1" applyAlignment="1">
      <alignment horizontal="right"/>
    </xf>
    <xf numFmtId="167" fontId="20" fillId="0" borderId="0" xfId="0" applyNumberFormat="1" applyFont="1"/>
    <xf numFmtId="167" fontId="20" fillId="0" borderId="7" xfId="0" applyNumberFormat="1" applyFont="1" applyBorder="1"/>
    <xf numFmtId="167" fontId="20" fillId="0" borderId="5" xfId="0" applyNumberFormat="1" applyFont="1" applyBorder="1"/>
    <xf numFmtId="167" fontId="20" fillId="0" borderId="6" xfId="0" applyNumberFormat="1" applyFont="1" applyBorder="1"/>
    <xf numFmtId="0" fontId="29" fillId="0" borderId="13" xfId="0" applyFont="1" applyBorder="1" applyAlignment="1">
      <alignment wrapText="1"/>
    </xf>
    <xf numFmtId="0" fontId="1" fillId="3" borderId="3" xfId="0" applyFont="1" applyFill="1" applyBorder="1" applyAlignment="1">
      <alignment horizontal="right" wrapText="1"/>
    </xf>
    <xf numFmtId="0" fontId="20" fillId="0" borderId="9" xfId="0" applyFont="1" applyBorder="1" applyAlignment="1">
      <alignment horizontal="right" vertical="top"/>
    </xf>
    <xf numFmtId="0" fontId="1" fillId="0" borderId="13" xfId="0" applyFont="1" applyBorder="1" applyAlignment="1">
      <alignment horizontal="left" vertical="top"/>
    </xf>
    <xf numFmtId="0" fontId="1" fillId="0" borderId="6" xfId="0" applyFont="1" applyBorder="1" applyAlignment="1">
      <alignment horizontal="left" vertical="top"/>
    </xf>
    <xf numFmtId="170" fontId="25" fillId="8" borderId="16" xfId="6" applyAlignment="1">
      <alignment horizontal="left" vertical="top"/>
    </xf>
    <xf numFmtId="0" fontId="1" fillId="3" borderId="8" xfId="0" applyFont="1" applyFill="1" applyBorder="1" applyAlignment="1">
      <alignment wrapText="1"/>
    </xf>
    <xf numFmtId="167" fontId="11" fillId="0" borderId="12" xfId="0" applyNumberFormat="1" applyFont="1" applyBorder="1" applyAlignment="1">
      <alignment horizontal="right"/>
    </xf>
    <xf numFmtId="0" fontId="11" fillId="0" borderId="12" xfId="0" applyFont="1" applyBorder="1"/>
    <xf numFmtId="0" fontId="11" fillId="0" borderId="13" xfId="0" applyFont="1" applyBorder="1"/>
    <xf numFmtId="0" fontId="22" fillId="7" borderId="0" xfId="0" applyFont="1" applyFill="1" applyAlignment="1">
      <alignment horizontal="left" vertical="top" wrapText="1"/>
    </xf>
    <xf numFmtId="0" fontId="22" fillId="7" borderId="9" xfId="0" applyFont="1" applyFill="1" applyBorder="1" applyAlignment="1">
      <alignment horizontal="left" vertical="top" wrapText="1"/>
    </xf>
    <xf numFmtId="0" fontId="22" fillId="7" borderId="14" xfId="0" applyFont="1" applyFill="1" applyBorder="1" applyAlignment="1">
      <alignment horizontal="left" vertical="top" wrapText="1"/>
    </xf>
    <xf numFmtId="0" fontId="22" fillId="7" borderId="10" xfId="0" applyFont="1" applyFill="1" applyBorder="1" applyAlignment="1">
      <alignment horizontal="left" vertical="top" wrapText="1"/>
    </xf>
    <xf numFmtId="0" fontId="22" fillId="7" borderId="2" xfId="0" applyFont="1" applyFill="1" applyBorder="1" applyAlignment="1">
      <alignment horizontal="left" vertical="top" wrapText="1"/>
    </xf>
    <xf numFmtId="2" fontId="7" fillId="0" borderId="2" xfId="4" applyNumberFormat="1" applyFont="1" applyFill="1" applyBorder="1" applyAlignment="1">
      <alignment horizontal="right" vertical="center"/>
    </xf>
    <xf numFmtId="2" fontId="7" fillId="0" borderId="0" xfId="4" applyNumberFormat="1" applyFont="1" applyFill="1" applyBorder="1" applyAlignment="1">
      <alignment horizontal="right" vertical="center"/>
    </xf>
    <xf numFmtId="2" fontId="7" fillId="0" borderId="5" xfId="4" applyNumberFormat="1" applyFont="1" applyFill="1" applyBorder="1" applyAlignment="1">
      <alignment horizontal="right" vertical="center"/>
    </xf>
    <xf numFmtId="2" fontId="7" fillId="0" borderId="3" xfId="4" applyNumberFormat="1" applyFont="1" applyFill="1" applyBorder="1" applyAlignment="1">
      <alignment horizontal="right" vertical="center"/>
    </xf>
    <xf numFmtId="2" fontId="7" fillId="0" borderId="7" xfId="4" applyNumberFormat="1" applyFont="1" applyFill="1" applyBorder="1" applyAlignment="1">
      <alignment horizontal="right" vertical="center"/>
    </xf>
    <xf numFmtId="0" fontId="1" fillId="3" borderId="1" xfId="0" quotePrefix="1" applyFont="1" applyFill="1" applyBorder="1" applyAlignment="1">
      <alignment horizontal="center"/>
    </xf>
    <xf numFmtId="0" fontId="1" fillId="3" borderId="3" xfId="0" applyFont="1" applyFill="1" applyBorder="1" applyAlignment="1">
      <alignment horizontal="center"/>
    </xf>
    <xf numFmtId="0" fontId="1" fillId="3" borderId="9" xfId="0" quotePrefix="1" applyFont="1" applyFill="1" applyBorder="1" applyAlignment="1">
      <alignment horizontal="center"/>
    </xf>
    <xf numFmtId="0" fontId="1" fillId="3" borderId="9" xfId="0" applyFont="1" applyFill="1" applyBorder="1" applyAlignment="1">
      <alignment horizontal="center"/>
    </xf>
    <xf numFmtId="2" fontId="20" fillId="0" borderId="9" xfId="4" applyNumberFormat="1" applyFont="1" applyFill="1" applyBorder="1" applyAlignment="1">
      <alignment horizontal="right" vertical="center"/>
    </xf>
    <xf numFmtId="2" fontId="20" fillId="0" borderId="14" xfId="4" applyNumberFormat="1" applyFont="1" applyFill="1" applyBorder="1" applyAlignment="1">
      <alignment horizontal="right" vertical="center"/>
    </xf>
    <xf numFmtId="2" fontId="20" fillId="0" borderId="10" xfId="4" applyNumberFormat="1" applyFont="1" applyFill="1" applyBorder="1" applyAlignment="1">
      <alignment horizontal="right" vertical="center"/>
    </xf>
    <xf numFmtId="0" fontId="1" fillId="3" borderId="9"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1" fillId="3" borderId="12" xfId="0" applyFont="1" applyFill="1" applyBorder="1" applyAlignment="1">
      <alignment horizontal="center" vertical="top"/>
    </xf>
    <xf numFmtId="0" fontId="1" fillId="3" borderId="13" xfId="0" applyFont="1" applyFill="1" applyBorder="1" applyAlignment="1">
      <alignment horizontal="center" vertical="top"/>
    </xf>
    <xf numFmtId="0" fontId="1" fillId="3" borderId="8" xfId="0" applyFont="1" applyFill="1" applyBorder="1" applyAlignment="1">
      <alignment horizontal="center" vertical="center"/>
    </xf>
    <xf numFmtId="1" fontId="1" fillId="3" borderId="9" xfId="0" applyNumberFormat="1" applyFont="1" applyFill="1" applyBorder="1" applyAlignment="1">
      <alignment horizontal="center" vertical="center" wrapText="1"/>
    </xf>
    <xf numFmtId="1" fontId="1" fillId="3" borderId="14" xfId="0" applyNumberFormat="1" applyFont="1" applyFill="1" applyBorder="1" applyAlignment="1">
      <alignment horizontal="center" vertical="center" wrapText="1"/>
    </xf>
    <xf numFmtId="1" fontId="1" fillId="3" borderId="10" xfId="0" applyNumberFormat="1" applyFont="1" applyFill="1" applyBorder="1" applyAlignment="1">
      <alignment horizontal="center" vertical="center" wrapText="1"/>
    </xf>
    <xf numFmtId="0" fontId="1" fillId="3" borderId="10" xfId="0" applyFont="1" applyFill="1" applyBorder="1" applyAlignment="1">
      <alignment horizontal="center" vertical="center" wrapText="1"/>
    </xf>
    <xf numFmtId="1" fontId="1" fillId="3" borderId="9" xfId="0" applyNumberFormat="1" applyFont="1" applyFill="1" applyBorder="1" applyAlignment="1">
      <alignment horizontal="center" vertical="center"/>
    </xf>
    <xf numFmtId="1" fontId="1" fillId="3" borderId="14" xfId="0" applyNumberFormat="1" applyFont="1" applyFill="1" applyBorder="1" applyAlignment="1">
      <alignment horizontal="center" vertical="center"/>
    </xf>
    <xf numFmtId="1" fontId="1" fillId="3" borderId="10" xfId="0" applyNumberFormat="1" applyFont="1" applyFill="1" applyBorder="1" applyAlignment="1">
      <alignment horizontal="center" vertical="center"/>
    </xf>
    <xf numFmtId="1" fontId="1" fillId="3" borderId="1" xfId="0" applyNumberFormat="1" applyFont="1" applyFill="1" applyBorder="1" applyAlignment="1">
      <alignment horizontal="center" vertical="center" wrapText="1"/>
    </xf>
    <xf numFmtId="1" fontId="1" fillId="3" borderId="15" xfId="0" applyNumberFormat="1" applyFont="1" applyFill="1" applyBorder="1" applyAlignment="1">
      <alignment horizontal="center" vertical="center" wrapText="1"/>
    </xf>
    <xf numFmtId="1" fontId="1" fillId="3" borderId="4"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3" borderId="4" xfId="0" applyFont="1" applyFill="1" applyBorder="1" applyAlignment="1">
      <alignment horizontal="center" vertical="center" wrapText="1"/>
    </xf>
    <xf numFmtId="1" fontId="1" fillId="3" borderId="1" xfId="0" applyNumberFormat="1" applyFont="1" applyFill="1" applyBorder="1" applyAlignment="1">
      <alignment horizontal="center" vertical="center"/>
    </xf>
    <xf numFmtId="1" fontId="1" fillId="3" borderId="15" xfId="0" applyNumberFormat="1" applyFont="1" applyFill="1" applyBorder="1" applyAlignment="1">
      <alignment horizontal="center" vertical="center"/>
    </xf>
    <xf numFmtId="1" fontId="1" fillId="3" borderId="4" xfId="0" applyNumberFormat="1" applyFont="1" applyFill="1" applyBorder="1" applyAlignment="1">
      <alignment horizontal="center" vertical="center"/>
    </xf>
    <xf numFmtId="9" fontId="0" fillId="3" borderId="4" xfId="0" applyNumberFormat="1" applyFill="1" applyBorder="1" applyAlignment="1">
      <alignment horizontal="center" vertical="top"/>
    </xf>
    <xf numFmtId="9" fontId="0" fillId="3" borderId="6" xfId="0" applyNumberFormat="1" applyFill="1" applyBorder="1" applyAlignment="1">
      <alignment horizontal="center" vertical="top"/>
    </xf>
    <xf numFmtId="0" fontId="1" fillId="3" borderId="1" xfId="0" quotePrefix="1" applyFont="1" applyFill="1" applyBorder="1" applyAlignment="1">
      <alignment horizontal="center" vertical="top"/>
    </xf>
    <xf numFmtId="0" fontId="1" fillId="3" borderId="3" xfId="0" quotePrefix="1" applyFont="1" applyFill="1" applyBorder="1" applyAlignment="1">
      <alignment horizontal="center" vertical="top"/>
    </xf>
    <xf numFmtId="0" fontId="5" fillId="3" borderId="5" xfId="0" applyFont="1" applyFill="1" applyBorder="1" applyAlignment="1">
      <alignment horizontal="center" vertical="top"/>
    </xf>
    <xf numFmtId="0" fontId="1" fillId="3" borderId="2" xfId="0" applyFont="1" applyFill="1" applyBorder="1" applyAlignment="1">
      <alignment horizontal="center" vertical="top"/>
    </xf>
    <xf numFmtId="0" fontId="3" fillId="3" borderId="1"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3" borderId="6" xfId="0" applyFont="1" applyFill="1" applyBorder="1" applyAlignment="1">
      <alignment horizontal="left" vertical="center" wrapText="1"/>
    </xf>
    <xf numFmtId="0" fontId="1" fillId="3" borderId="11" xfId="0" applyFont="1" applyFill="1" applyBorder="1" applyAlignment="1">
      <alignment horizontal="center" vertical="center" wrapText="1"/>
    </xf>
    <xf numFmtId="0" fontId="1" fillId="3" borderId="12" xfId="0" applyFont="1" applyFill="1" applyBorder="1" applyAlignment="1">
      <alignment horizontal="center" vertical="center"/>
    </xf>
    <xf numFmtId="0" fontId="1" fillId="3" borderId="13" xfId="0" applyFont="1" applyFill="1" applyBorder="1" applyAlignment="1">
      <alignment horizontal="center" vertical="center"/>
    </xf>
    <xf numFmtId="0" fontId="1" fillId="3" borderId="9" xfId="0" applyFont="1" applyFill="1" applyBorder="1" applyAlignment="1">
      <alignment horizontal="left" vertical="center"/>
    </xf>
    <xf numFmtId="0" fontId="1" fillId="3" borderId="14" xfId="0" applyFont="1" applyFill="1" applyBorder="1" applyAlignment="1">
      <alignment horizontal="left" vertical="center"/>
    </xf>
    <xf numFmtId="0" fontId="1" fillId="3" borderId="10" xfId="0" applyFont="1" applyFill="1" applyBorder="1" applyAlignment="1">
      <alignment horizontal="left" vertical="center"/>
    </xf>
    <xf numFmtId="0" fontId="1" fillId="3" borderId="11" xfId="0" applyFont="1" applyFill="1" applyBorder="1" applyAlignment="1">
      <alignment horizontal="center"/>
    </xf>
    <xf numFmtId="0" fontId="1" fillId="3" borderId="12" xfId="0" applyFont="1" applyFill="1" applyBorder="1" applyAlignment="1">
      <alignment horizontal="center"/>
    </xf>
    <xf numFmtId="0" fontId="1" fillId="3" borderId="13" xfId="0" applyFont="1" applyFill="1" applyBorder="1" applyAlignment="1">
      <alignment horizontal="center"/>
    </xf>
    <xf numFmtId="0" fontId="28" fillId="9" borderId="0" xfId="0" applyFont="1" applyFill="1" applyAlignment="1">
      <alignment horizontal="left" vertical="center" wrapText="1"/>
    </xf>
    <xf numFmtId="0" fontId="1" fillId="3" borderId="11" xfId="0" applyFont="1" applyFill="1" applyBorder="1" applyAlignment="1">
      <alignment horizontal="center" vertical="center"/>
    </xf>
    <xf numFmtId="0" fontId="3" fillId="2" borderId="10" xfId="0" applyFont="1" applyFill="1" applyBorder="1" applyAlignment="1">
      <alignment vertical="top" wrapText="1"/>
    </xf>
    <xf numFmtId="0" fontId="0" fillId="2" borderId="6" xfId="0" applyFill="1" applyBorder="1" applyAlignment="1">
      <alignment horizontal="left" vertical="top"/>
    </xf>
    <xf numFmtId="0" fontId="1" fillId="2" borderId="6" xfId="0" applyFont="1" applyFill="1" applyBorder="1" applyAlignment="1">
      <alignment horizontal="left" vertical="top"/>
    </xf>
    <xf numFmtId="170" fontId="25" fillId="2" borderId="16" xfId="6" applyFill="1"/>
    <xf numFmtId="0" fontId="4" fillId="2" borderId="6" xfId="0" applyFont="1" applyFill="1" applyBorder="1" applyAlignment="1">
      <alignment vertical="top" wrapText="1"/>
    </xf>
    <xf numFmtId="0" fontId="4" fillId="0" borderId="7" xfId="0" applyFont="1" applyFill="1" applyBorder="1" applyAlignment="1">
      <alignment horizontal="center" vertical="center" wrapText="1"/>
    </xf>
    <xf numFmtId="0" fontId="4" fillId="0" borderId="6" xfId="0" applyFont="1" applyFill="1" applyBorder="1" applyAlignment="1">
      <alignment horizontal="center" vertical="center" wrapText="1"/>
    </xf>
  </cellXfs>
  <cellStyles count="11">
    <cellStyle name="Bad" xfId="4" builtinId="27"/>
    <cellStyle name="Check Cell" xfId="6" builtinId="23" customBuiltin="1"/>
    <cellStyle name="Comma" xfId="1" builtinId="3"/>
    <cellStyle name="Explanatory Text" xfId="8" builtinId="53"/>
    <cellStyle name="Good" xfId="3" builtinId="26"/>
    <cellStyle name="Hyperlink" xfId="7" builtinId="8"/>
    <cellStyle name="Neutral" xfId="5" builtinId="28"/>
    <cellStyle name="Normal" xfId="0" builtinId="0"/>
    <cellStyle name="Normal 2" xfId="9" xr:uid="{AB841F91-854A-4299-917C-43156DEAAB7F}"/>
    <cellStyle name="Normal 3" xfId="10" xr:uid="{23597C8A-CA3C-4E86-89D7-18B939DAAB61}"/>
    <cellStyle name="Percent" xfId="2" builtinId="5"/>
  </cellStyles>
  <dxfs count="0"/>
  <tableStyles count="0" defaultTableStyle="TableStyleMedium2" defaultPivotStyle="PivotStyleLight16"/>
  <colors>
    <mruColors>
      <color rgb="FF9954CC"/>
      <color rgb="FFA66BD3"/>
      <color rgb="FFE0C1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Emissions budgets vs NDC1 value</a:t>
            </a:r>
          </a:p>
        </c:rich>
      </c:tx>
      <c:layout>
        <c:manualLayout>
          <c:xMode val="edge"/>
          <c:yMode val="edge"/>
          <c:x val="0.24637681159420291"/>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'Calcs - Volume Scenarios'!$I$19:$I$20</c:f>
              <c:strCache>
                <c:ptCount val="2"/>
                <c:pt idx="0">
                  <c:v>Emissions budgets</c:v>
                </c:pt>
                <c:pt idx="1">
                  <c:v>NDC1</c:v>
                </c:pt>
              </c:strCache>
            </c:strRef>
          </c:cat>
          <c:val>
            <c:numRef>
              <c:f>'Calcs - Volume Scenarios'!$J$19:$J$20</c:f>
              <c:numCache>
                <c:formatCode>General</c:formatCode>
                <c:ptCount val="2"/>
                <c:pt idx="0">
                  <c:v>670.18</c:v>
                </c:pt>
                <c:pt idx="1">
                  <c:v>571</c:v>
                </c:pt>
              </c:numCache>
            </c:numRef>
          </c:val>
          <c:extLst>
            <c:ext xmlns:c16="http://schemas.microsoft.com/office/drawing/2014/chart" uri="{C3380CC4-5D6E-409C-BE32-E72D297353CC}">
              <c16:uniqueId val="{00000000-B8AA-4378-9E22-CCDC862760B1}"/>
            </c:ext>
          </c:extLst>
        </c:ser>
        <c:dLbls>
          <c:showLegendKey val="0"/>
          <c:showVal val="0"/>
          <c:showCatName val="0"/>
          <c:showSerName val="0"/>
          <c:showPercent val="0"/>
          <c:showBubbleSize val="0"/>
        </c:dLbls>
        <c:gapWidth val="219"/>
        <c:overlap val="-27"/>
        <c:axId val="679651056"/>
        <c:axId val="679643840"/>
      </c:barChart>
      <c:catAx>
        <c:axId val="679651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9643840"/>
        <c:crosses val="autoZero"/>
        <c:auto val="1"/>
        <c:lblAlgn val="ctr"/>
        <c:lblOffset val="100"/>
        <c:noMultiLvlLbl val="0"/>
      </c:catAx>
      <c:valAx>
        <c:axId val="67964384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Mt 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96510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Price</a:t>
            </a:r>
            <a:r>
              <a:rPr lang="en-NZ" baseline="0"/>
              <a:t> trajectories - NDC2 Offshore Mitigation Cost </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scatterChart>
        <c:scatterStyle val="smoothMarker"/>
        <c:varyColors val="0"/>
        <c:ser>
          <c:idx val="0"/>
          <c:order val="0"/>
          <c:tx>
            <c:strRef>
              <c:f>'Calcs - Price Scenarios'!$D$25</c:f>
              <c:strCache>
                <c:ptCount val="1"/>
                <c:pt idx="0">
                  <c:v>IEA - Emerging and developed economies</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dLbls>
            <c:dLbl>
              <c:idx val="2"/>
              <c:delete val="1"/>
              <c:extLst>
                <c:ext xmlns:c15="http://schemas.microsoft.com/office/drawing/2012/chart" uri="{CE6537A1-D6FC-4f65-9D91-7224C49458BB}"/>
                <c:ext xmlns:c16="http://schemas.microsoft.com/office/drawing/2014/chart" uri="{C3380CC4-5D6E-409C-BE32-E72D297353CC}">
                  <c16:uniqueId val="{00000000-9842-45EC-88F7-0F34BDA76E09}"/>
                </c:ext>
              </c:extLst>
            </c:dLbl>
            <c:dLbl>
              <c:idx val="3"/>
              <c:delete val="1"/>
              <c:extLst>
                <c:ext xmlns:c15="http://schemas.microsoft.com/office/drawing/2012/chart" uri="{CE6537A1-D6FC-4f65-9D91-7224C49458BB}"/>
                <c:ext xmlns:c16="http://schemas.microsoft.com/office/drawing/2014/chart" uri="{C3380CC4-5D6E-409C-BE32-E72D297353CC}">
                  <c16:uniqueId val="{00000001-9842-45EC-88F7-0F34BDA76E09}"/>
                </c:ext>
              </c:extLst>
            </c:dLbl>
            <c:dLbl>
              <c:idx val="4"/>
              <c:delete val="1"/>
              <c:extLst>
                <c:ext xmlns:c15="http://schemas.microsoft.com/office/drawing/2012/chart" uri="{CE6537A1-D6FC-4f65-9D91-7224C49458BB}"/>
                <c:ext xmlns:c16="http://schemas.microsoft.com/office/drawing/2014/chart" uri="{C3380CC4-5D6E-409C-BE32-E72D297353CC}">
                  <c16:uniqueId val="{00000002-9842-45EC-88F7-0F34BDA76E09}"/>
                </c:ext>
              </c:extLst>
            </c:dLbl>
            <c:dLbl>
              <c:idx val="5"/>
              <c:delete val="1"/>
              <c:extLst>
                <c:ext xmlns:c15="http://schemas.microsoft.com/office/drawing/2012/chart" uri="{CE6537A1-D6FC-4f65-9D91-7224C49458BB}"/>
                <c:ext xmlns:c16="http://schemas.microsoft.com/office/drawing/2014/chart" uri="{C3380CC4-5D6E-409C-BE32-E72D297353CC}">
                  <c16:uniqueId val="{00000004-9842-45EC-88F7-0F34BDA76E09}"/>
                </c:ext>
              </c:extLst>
            </c:dLbl>
            <c:dLbl>
              <c:idx val="7"/>
              <c:delete val="1"/>
              <c:extLst>
                <c:ext xmlns:c15="http://schemas.microsoft.com/office/drawing/2012/chart" uri="{CE6537A1-D6FC-4f65-9D91-7224C49458BB}"/>
                <c:ext xmlns:c16="http://schemas.microsoft.com/office/drawing/2014/chart" uri="{C3380CC4-5D6E-409C-BE32-E72D297353CC}">
                  <c16:uniqueId val="{00000005-9842-45EC-88F7-0F34BDA76E09}"/>
                </c:ext>
              </c:extLst>
            </c:dLbl>
            <c:dLbl>
              <c:idx val="8"/>
              <c:delete val="1"/>
              <c:extLst>
                <c:ext xmlns:c15="http://schemas.microsoft.com/office/drawing/2012/chart" uri="{CE6537A1-D6FC-4f65-9D91-7224C49458BB}"/>
                <c:ext xmlns:c16="http://schemas.microsoft.com/office/drawing/2014/chart" uri="{C3380CC4-5D6E-409C-BE32-E72D297353CC}">
                  <c16:uniqueId val="{00000006-9842-45EC-88F7-0F34BDA76E09}"/>
                </c:ext>
              </c:extLst>
            </c:dLbl>
            <c:dLbl>
              <c:idx val="9"/>
              <c:delete val="1"/>
              <c:extLst>
                <c:ext xmlns:c15="http://schemas.microsoft.com/office/drawing/2012/chart" uri="{CE6537A1-D6FC-4f65-9D91-7224C49458BB}"/>
                <c:ext xmlns:c16="http://schemas.microsoft.com/office/drawing/2014/chart" uri="{C3380CC4-5D6E-409C-BE32-E72D297353CC}">
                  <c16:uniqueId val="{00000007-9842-45EC-88F7-0F34BDA76E09}"/>
                </c:ext>
              </c:extLst>
            </c:dLbl>
            <c:dLbl>
              <c:idx val="10"/>
              <c:delete val="1"/>
              <c:extLst>
                <c:ext xmlns:c15="http://schemas.microsoft.com/office/drawing/2012/chart" uri="{CE6537A1-D6FC-4f65-9D91-7224C49458BB}"/>
                <c:ext xmlns:c16="http://schemas.microsoft.com/office/drawing/2014/chart" uri="{C3380CC4-5D6E-409C-BE32-E72D297353CC}">
                  <c16:uniqueId val="{00000008-9842-45EC-88F7-0F34BDA76E09}"/>
                </c:ext>
              </c:extLst>
            </c:dLbl>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'Calcs - Price Scenarios'!$C$26:$C$37</c:f>
              <c:numCache>
                <c:formatCode>General</c:formatCode>
                <c:ptCount val="12"/>
                <c:pt idx="0">
                  <c:v>2024</c:v>
                </c:pt>
                <c:pt idx="1">
                  <c:v>2025</c:v>
                </c:pt>
                <c:pt idx="2">
                  <c:v>2026</c:v>
                </c:pt>
                <c:pt idx="3">
                  <c:v>2027</c:v>
                </c:pt>
                <c:pt idx="4">
                  <c:v>2028</c:v>
                </c:pt>
                <c:pt idx="5">
                  <c:v>2029</c:v>
                </c:pt>
                <c:pt idx="6">
                  <c:v>2030</c:v>
                </c:pt>
                <c:pt idx="7">
                  <c:v>2031</c:v>
                </c:pt>
                <c:pt idx="8">
                  <c:v>2032</c:v>
                </c:pt>
                <c:pt idx="9">
                  <c:v>2033</c:v>
                </c:pt>
                <c:pt idx="10">
                  <c:v>2034</c:v>
                </c:pt>
                <c:pt idx="11">
                  <c:v>2035</c:v>
                </c:pt>
              </c:numCache>
            </c:numRef>
          </c:xVal>
          <c:yVal>
            <c:numRef>
              <c:f>'Calcs - Price Scenarios'!$D$26:$D$37</c:f>
              <c:numCache>
                <c:formatCode>"$"#,##0.00</c:formatCode>
                <c:ptCount val="12"/>
                <c:pt idx="0">
                  <c:v>17.506808522155715</c:v>
                </c:pt>
                <c:pt idx="1">
                  <c:v>20.110042150648344</c:v>
                </c:pt>
                <c:pt idx="2">
                  <c:v>23.100372337370789</c:v>
                </c:pt>
                <c:pt idx="3">
                  <c:v>26.535359703756839</c:v>
                </c:pt>
                <c:pt idx="4">
                  <c:v>30.48112404096009</c:v>
                </c:pt>
                <c:pt idx="5">
                  <c:v>35.013617044311431</c:v>
                </c:pt>
                <c:pt idx="6">
                  <c:v>40.220084301296687</c:v>
                </c:pt>
                <c:pt idx="7">
                  <c:v>46.200744674741578</c:v>
                </c:pt>
                <c:pt idx="8">
                  <c:v>53.070719407513678</c:v>
                </c:pt>
                <c:pt idx="9">
                  <c:v>60.962248081920187</c:v>
                </c:pt>
                <c:pt idx="10">
                  <c:v>70.027234088622876</c:v>
                </c:pt>
                <c:pt idx="11">
                  <c:v>80.440168602593403</c:v>
                </c:pt>
              </c:numCache>
            </c:numRef>
          </c:yVal>
          <c:smooth val="1"/>
          <c:extLst>
            <c:ext xmlns:c16="http://schemas.microsoft.com/office/drawing/2014/chart" uri="{C3380CC4-5D6E-409C-BE32-E72D297353CC}">
              <c16:uniqueId val="{00000000-7BA8-4705-9967-299020D11DBE}"/>
            </c:ext>
          </c:extLst>
        </c:ser>
        <c:ser>
          <c:idx val="1"/>
          <c:order val="1"/>
          <c:tx>
            <c:strRef>
              <c:f>'Calcs - Price Scenarios'!$E$25</c:f>
              <c:strCache>
                <c:ptCount val="1"/>
                <c:pt idx="0">
                  <c:v>Indicative current price</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dLbls>
            <c:dLbl>
              <c:idx val="2"/>
              <c:delete val="1"/>
              <c:extLst>
                <c:ext xmlns:c15="http://schemas.microsoft.com/office/drawing/2012/chart" uri="{CE6537A1-D6FC-4f65-9D91-7224C49458BB}"/>
                <c:ext xmlns:c16="http://schemas.microsoft.com/office/drawing/2014/chart" uri="{C3380CC4-5D6E-409C-BE32-E72D297353CC}">
                  <c16:uniqueId val="{00000009-9842-45EC-88F7-0F34BDA76E09}"/>
                </c:ext>
              </c:extLst>
            </c:dLbl>
            <c:dLbl>
              <c:idx val="3"/>
              <c:delete val="1"/>
              <c:extLst>
                <c:ext xmlns:c15="http://schemas.microsoft.com/office/drawing/2012/chart" uri="{CE6537A1-D6FC-4f65-9D91-7224C49458BB}"/>
                <c:ext xmlns:c16="http://schemas.microsoft.com/office/drawing/2014/chart" uri="{C3380CC4-5D6E-409C-BE32-E72D297353CC}">
                  <c16:uniqueId val="{0000000A-9842-45EC-88F7-0F34BDA76E09}"/>
                </c:ext>
              </c:extLst>
            </c:dLbl>
            <c:dLbl>
              <c:idx val="4"/>
              <c:delete val="1"/>
              <c:extLst>
                <c:ext xmlns:c15="http://schemas.microsoft.com/office/drawing/2012/chart" uri="{CE6537A1-D6FC-4f65-9D91-7224C49458BB}"/>
                <c:ext xmlns:c16="http://schemas.microsoft.com/office/drawing/2014/chart" uri="{C3380CC4-5D6E-409C-BE32-E72D297353CC}">
                  <c16:uniqueId val="{0000000B-9842-45EC-88F7-0F34BDA76E09}"/>
                </c:ext>
              </c:extLst>
            </c:dLbl>
            <c:dLbl>
              <c:idx val="5"/>
              <c:delete val="1"/>
              <c:extLst>
                <c:ext xmlns:c15="http://schemas.microsoft.com/office/drawing/2012/chart" uri="{CE6537A1-D6FC-4f65-9D91-7224C49458BB}"/>
                <c:ext xmlns:c16="http://schemas.microsoft.com/office/drawing/2014/chart" uri="{C3380CC4-5D6E-409C-BE32-E72D297353CC}">
                  <c16:uniqueId val="{0000000C-9842-45EC-88F7-0F34BDA76E09}"/>
                </c:ext>
              </c:extLst>
            </c:dLbl>
            <c:dLbl>
              <c:idx val="7"/>
              <c:delete val="1"/>
              <c:extLst>
                <c:ext xmlns:c15="http://schemas.microsoft.com/office/drawing/2012/chart" uri="{CE6537A1-D6FC-4f65-9D91-7224C49458BB}"/>
                <c:ext xmlns:c16="http://schemas.microsoft.com/office/drawing/2014/chart" uri="{C3380CC4-5D6E-409C-BE32-E72D297353CC}">
                  <c16:uniqueId val="{0000000D-9842-45EC-88F7-0F34BDA76E09}"/>
                </c:ext>
              </c:extLst>
            </c:dLbl>
            <c:dLbl>
              <c:idx val="8"/>
              <c:delete val="1"/>
              <c:extLst>
                <c:ext xmlns:c15="http://schemas.microsoft.com/office/drawing/2012/chart" uri="{CE6537A1-D6FC-4f65-9D91-7224C49458BB}"/>
                <c:ext xmlns:c16="http://schemas.microsoft.com/office/drawing/2014/chart" uri="{C3380CC4-5D6E-409C-BE32-E72D297353CC}">
                  <c16:uniqueId val="{0000000E-9842-45EC-88F7-0F34BDA76E09}"/>
                </c:ext>
              </c:extLst>
            </c:dLbl>
            <c:dLbl>
              <c:idx val="9"/>
              <c:delete val="1"/>
              <c:extLst>
                <c:ext xmlns:c15="http://schemas.microsoft.com/office/drawing/2012/chart" uri="{CE6537A1-D6FC-4f65-9D91-7224C49458BB}"/>
                <c:ext xmlns:c16="http://schemas.microsoft.com/office/drawing/2014/chart" uri="{C3380CC4-5D6E-409C-BE32-E72D297353CC}">
                  <c16:uniqueId val="{0000000F-9842-45EC-88F7-0F34BDA76E09}"/>
                </c:ext>
              </c:extLst>
            </c:dLbl>
            <c:dLbl>
              <c:idx val="10"/>
              <c:delete val="1"/>
              <c:extLst>
                <c:ext xmlns:c15="http://schemas.microsoft.com/office/drawing/2012/chart" uri="{CE6537A1-D6FC-4f65-9D91-7224C49458BB}"/>
                <c:ext xmlns:c16="http://schemas.microsoft.com/office/drawing/2014/chart" uri="{C3380CC4-5D6E-409C-BE32-E72D297353CC}">
                  <c16:uniqueId val="{00000010-9842-45EC-88F7-0F34BDA76E09}"/>
                </c:ext>
              </c:extLst>
            </c:dLbl>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'Calcs - Price Scenarios'!$C$26:$C$37</c:f>
              <c:numCache>
                <c:formatCode>General</c:formatCode>
                <c:ptCount val="12"/>
                <c:pt idx="0">
                  <c:v>2024</c:v>
                </c:pt>
                <c:pt idx="1">
                  <c:v>2025</c:v>
                </c:pt>
                <c:pt idx="2">
                  <c:v>2026</c:v>
                </c:pt>
                <c:pt idx="3">
                  <c:v>2027</c:v>
                </c:pt>
                <c:pt idx="4">
                  <c:v>2028</c:v>
                </c:pt>
                <c:pt idx="5">
                  <c:v>2029</c:v>
                </c:pt>
                <c:pt idx="6">
                  <c:v>2030</c:v>
                </c:pt>
                <c:pt idx="7">
                  <c:v>2031</c:v>
                </c:pt>
                <c:pt idx="8">
                  <c:v>2032</c:v>
                </c:pt>
                <c:pt idx="9">
                  <c:v>2033</c:v>
                </c:pt>
                <c:pt idx="10">
                  <c:v>2034</c:v>
                </c:pt>
                <c:pt idx="11">
                  <c:v>2035</c:v>
                </c:pt>
              </c:numCache>
            </c:numRef>
          </c:xVal>
          <c:yVal>
            <c:numRef>
              <c:f>'Calcs - Price Scenarios'!$E$26:$E$37</c:f>
              <c:numCache>
                <c:formatCode>General</c:formatCode>
                <c:ptCount val="12"/>
                <c:pt idx="0">
                  <c:v>0</c:v>
                </c:pt>
              </c:numCache>
            </c:numRef>
          </c:yVal>
          <c:smooth val="1"/>
          <c:extLst>
            <c:ext xmlns:c16="http://schemas.microsoft.com/office/drawing/2014/chart" uri="{C3380CC4-5D6E-409C-BE32-E72D297353CC}">
              <c16:uniqueId val="{00000001-7BA8-4705-9967-299020D11DBE}"/>
            </c:ext>
          </c:extLst>
        </c:ser>
        <c:ser>
          <c:idx val="2"/>
          <c:order val="2"/>
          <c:tx>
            <c:strRef>
              <c:f>'Calcs - Price Scenarios'!$F$25</c:f>
              <c:strCache>
                <c:ptCount val="1"/>
                <c:pt idx="0">
                  <c:v>IEA - Selected EMDE with net zero targets scenario</c:v>
                </c:pt>
              </c:strCache>
            </c:strRef>
          </c:tx>
          <c:spPr>
            <a:ln w="19050" cap="rnd">
              <a:solidFill>
                <a:schemeClr val="accent3"/>
              </a:solidFill>
              <a:round/>
            </a:ln>
            <a:effectLst/>
          </c:spPr>
          <c:marker>
            <c:symbol val="circle"/>
            <c:size val="5"/>
            <c:spPr>
              <a:solidFill>
                <a:schemeClr val="accent3"/>
              </a:solidFill>
              <a:ln w="9525">
                <a:solidFill>
                  <a:schemeClr val="accent3"/>
                </a:solidFill>
              </a:ln>
              <a:effectLst/>
            </c:spPr>
          </c:marker>
          <c:dLbls>
            <c:dLbl>
              <c:idx val="2"/>
              <c:delete val="1"/>
              <c:extLst>
                <c:ext xmlns:c15="http://schemas.microsoft.com/office/drawing/2012/chart" uri="{CE6537A1-D6FC-4f65-9D91-7224C49458BB}"/>
                <c:ext xmlns:c16="http://schemas.microsoft.com/office/drawing/2014/chart" uri="{C3380CC4-5D6E-409C-BE32-E72D297353CC}">
                  <c16:uniqueId val="{00000015-9842-45EC-88F7-0F34BDA76E09}"/>
                </c:ext>
              </c:extLst>
            </c:dLbl>
            <c:dLbl>
              <c:idx val="3"/>
              <c:delete val="1"/>
              <c:extLst>
                <c:ext xmlns:c15="http://schemas.microsoft.com/office/drawing/2012/chart" uri="{CE6537A1-D6FC-4f65-9D91-7224C49458BB}"/>
                <c:ext xmlns:c16="http://schemas.microsoft.com/office/drawing/2014/chart" uri="{C3380CC4-5D6E-409C-BE32-E72D297353CC}">
                  <c16:uniqueId val="{00000016-9842-45EC-88F7-0F34BDA76E09}"/>
                </c:ext>
              </c:extLst>
            </c:dLbl>
            <c:dLbl>
              <c:idx val="4"/>
              <c:delete val="1"/>
              <c:extLst>
                <c:ext xmlns:c15="http://schemas.microsoft.com/office/drawing/2012/chart" uri="{CE6537A1-D6FC-4f65-9D91-7224C49458BB}"/>
                <c:ext xmlns:c16="http://schemas.microsoft.com/office/drawing/2014/chart" uri="{C3380CC4-5D6E-409C-BE32-E72D297353CC}">
                  <c16:uniqueId val="{00000017-9842-45EC-88F7-0F34BDA76E09}"/>
                </c:ext>
              </c:extLst>
            </c:dLbl>
            <c:dLbl>
              <c:idx val="5"/>
              <c:delete val="1"/>
              <c:extLst>
                <c:ext xmlns:c15="http://schemas.microsoft.com/office/drawing/2012/chart" uri="{CE6537A1-D6FC-4f65-9D91-7224C49458BB}"/>
                <c:ext xmlns:c16="http://schemas.microsoft.com/office/drawing/2014/chart" uri="{C3380CC4-5D6E-409C-BE32-E72D297353CC}">
                  <c16:uniqueId val="{00000018-9842-45EC-88F7-0F34BDA76E09}"/>
                </c:ext>
              </c:extLst>
            </c:dLbl>
            <c:dLbl>
              <c:idx val="7"/>
              <c:delete val="1"/>
              <c:extLst>
                <c:ext xmlns:c15="http://schemas.microsoft.com/office/drawing/2012/chart" uri="{CE6537A1-D6FC-4f65-9D91-7224C49458BB}"/>
                <c:ext xmlns:c16="http://schemas.microsoft.com/office/drawing/2014/chart" uri="{C3380CC4-5D6E-409C-BE32-E72D297353CC}">
                  <c16:uniqueId val="{00000011-9842-45EC-88F7-0F34BDA76E09}"/>
                </c:ext>
              </c:extLst>
            </c:dLbl>
            <c:dLbl>
              <c:idx val="8"/>
              <c:delete val="1"/>
              <c:extLst>
                <c:ext xmlns:c15="http://schemas.microsoft.com/office/drawing/2012/chart" uri="{CE6537A1-D6FC-4f65-9D91-7224C49458BB}"/>
                <c:ext xmlns:c16="http://schemas.microsoft.com/office/drawing/2014/chart" uri="{C3380CC4-5D6E-409C-BE32-E72D297353CC}">
                  <c16:uniqueId val="{00000012-9842-45EC-88F7-0F34BDA76E09}"/>
                </c:ext>
              </c:extLst>
            </c:dLbl>
            <c:dLbl>
              <c:idx val="9"/>
              <c:delete val="1"/>
              <c:extLst>
                <c:ext xmlns:c15="http://schemas.microsoft.com/office/drawing/2012/chart" uri="{CE6537A1-D6FC-4f65-9D91-7224C49458BB}"/>
                <c:ext xmlns:c16="http://schemas.microsoft.com/office/drawing/2014/chart" uri="{C3380CC4-5D6E-409C-BE32-E72D297353CC}">
                  <c16:uniqueId val="{00000013-9842-45EC-88F7-0F34BDA76E09}"/>
                </c:ext>
              </c:extLst>
            </c:dLbl>
            <c:dLbl>
              <c:idx val="10"/>
              <c:delete val="1"/>
              <c:extLst>
                <c:ext xmlns:c15="http://schemas.microsoft.com/office/drawing/2012/chart" uri="{CE6537A1-D6FC-4f65-9D91-7224C49458BB}"/>
                <c:ext xmlns:c16="http://schemas.microsoft.com/office/drawing/2014/chart" uri="{C3380CC4-5D6E-409C-BE32-E72D297353CC}">
                  <c16:uniqueId val="{00000014-9842-45EC-88F7-0F34BDA76E0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'Calcs - Price Scenarios'!$C$26:$C$37</c:f>
              <c:numCache>
                <c:formatCode>General</c:formatCode>
                <c:ptCount val="12"/>
                <c:pt idx="0">
                  <c:v>2024</c:v>
                </c:pt>
                <c:pt idx="1">
                  <c:v>2025</c:v>
                </c:pt>
                <c:pt idx="2">
                  <c:v>2026</c:v>
                </c:pt>
                <c:pt idx="3">
                  <c:v>2027</c:v>
                </c:pt>
                <c:pt idx="4">
                  <c:v>2028</c:v>
                </c:pt>
                <c:pt idx="5">
                  <c:v>2029</c:v>
                </c:pt>
                <c:pt idx="6">
                  <c:v>2030</c:v>
                </c:pt>
                <c:pt idx="7">
                  <c:v>2031</c:v>
                </c:pt>
                <c:pt idx="8">
                  <c:v>2032</c:v>
                </c:pt>
                <c:pt idx="9">
                  <c:v>2033</c:v>
                </c:pt>
                <c:pt idx="10">
                  <c:v>2034</c:v>
                </c:pt>
                <c:pt idx="11">
                  <c:v>2035</c:v>
                </c:pt>
              </c:numCache>
            </c:numRef>
          </c:xVal>
          <c:yVal>
            <c:numRef>
              <c:f>'Calcs - Price Scenarios'!$F$26:$F$37</c:f>
              <c:numCache>
                <c:formatCode>"$"#,##0.00</c:formatCode>
                <c:ptCount val="12"/>
                <c:pt idx="0">
                  <c:v>97.621274435790724</c:v>
                </c:pt>
                <c:pt idx="1">
                  <c:v>104.250458508961</c:v>
                </c:pt>
                <c:pt idx="2">
                  <c:v>111.32981168440908</c:v>
                </c:pt>
                <c:pt idx="3">
                  <c:v>118.88990367002189</c:v>
                </c:pt>
                <c:pt idx="4">
                  <c:v>126.96338007590973</c:v>
                </c:pt>
                <c:pt idx="5">
                  <c:v>135.58510338304274</c:v>
                </c:pt>
                <c:pt idx="6">
                  <c:v>144.79230348466811</c:v>
                </c:pt>
                <c:pt idx="7">
                  <c:v>154.6247384505682</c:v>
                </c:pt>
                <c:pt idx="8">
                  <c:v>165.12486620836378</c:v>
                </c:pt>
                <c:pt idx="9">
                  <c:v>176.33802788320799</c:v>
                </c:pt>
                <c:pt idx="10">
                  <c:v>188.31264358755939</c:v>
                </c:pt>
                <c:pt idx="11">
                  <c:v>201.10042150648354</c:v>
                </c:pt>
              </c:numCache>
            </c:numRef>
          </c:yVal>
          <c:smooth val="1"/>
          <c:extLst>
            <c:ext xmlns:c16="http://schemas.microsoft.com/office/drawing/2014/chart" uri="{C3380CC4-5D6E-409C-BE32-E72D297353CC}">
              <c16:uniqueId val="{00000002-7BA8-4705-9967-299020D11DBE}"/>
            </c:ext>
          </c:extLst>
        </c:ser>
        <c:dLbls>
          <c:dLblPos val="t"/>
          <c:showLegendKey val="0"/>
          <c:showVal val="1"/>
          <c:showCatName val="0"/>
          <c:showSerName val="0"/>
          <c:showPercent val="0"/>
          <c:showBubbleSize val="0"/>
        </c:dLbls>
        <c:axId val="132642703"/>
        <c:axId val="132643183"/>
      </c:scatterChart>
      <c:valAx>
        <c:axId val="13264270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643183"/>
        <c:crosses val="autoZero"/>
        <c:crossBetween val="midCat"/>
      </c:valAx>
      <c:valAx>
        <c:axId val="13264318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ITMO</a:t>
                </a:r>
                <a:r>
                  <a:rPr lang="en-NZ" baseline="0"/>
                  <a:t> Price assumption (2023 NZ$/t)</a:t>
                </a:r>
                <a:endParaRPr lang="en-NZ"/>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NZ"/>
            </a:p>
          </c:txPr>
        </c:title>
        <c:numFmt formatCode="&quot;$&quot;#,##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642703"/>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Outputs!$D$27:$D$29</c:f>
              <c:strCache>
                <c:ptCount val="3"/>
                <c:pt idx="0">
                  <c:v>Emissions gap based on MfE's baseline projection</c:v>
                </c:pt>
                <c:pt idx="1">
                  <c:v>Emissions gap based on New Zealand's domestic budgets</c:v>
                </c:pt>
                <c:pt idx="2">
                  <c:v>Emissions gap based on MfE's 'lower-emission' projection</c:v>
                </c:pt>
              </c:strCache>
            </c:strRef>
          </c:cat>
          <c:val>
            <c:numRef>
              <c:f>Outputs!$E$27:$E$29</c:f>
              <c:numCache>
                <c:formatCode>"$"#,##0.00</c:formatCode>
                <c:ptCount val="3"/>
                <c:pt idx="0">
                  <c:v>0</c:v>
                </c:pt>
                <c:pt idx="1">
                  <c:v>0</c:v>
                </c:pt>
                <c:pt idx="2">
                  <c:v>0</c:v>
                </c:pt>
              </c:numCache>
            </c:numRef>
          </c:val>
          <c:extLst>
            <c:ext xmlns:c15="http://schemas.microsoft.com/office/drawing/2012/chart" uri="{02D57815-91ED-43cb-92C2-25804820EDAC}">
              <c15:filteredSeriesTitle>
                <c15:tx>
                  <c:strRef>
                    <c:extLst>
                      <c:ext uri="{02D57815-91ED-43cb-92C2-25804820EDAC}">
                        <c15:formulaRef>
                          <c15:sqref>Outputs!#REF!</c15:sqref>
                        </c15:formulaRef>
                      </c:ext>
                    </c:extLst>
                    <c:strCache>
                      <c:ptCount val="1"/>
                      <c:pt idx="0">
                        <c:v>#REF!</c:v>
                      </c:pt>
                    </c:strCache>
                  </c:strRef>
                </c15:tx>
              </c15:filteredSeriesTitle>
            </c:ext>
            <c:ext xmlns:c16="http://schemas.microsoft.com/office/drawing/2014/chart" uri="{C3380CC4-5D6E-409C-BE32-E72D297353CC}">
              <c16:uniqueId val="{00000000-2D30-4CDF-9FE5-B0D3FB024092}"/>
            </c:ext>
          </c:extLst>
        </c:ser>
        <c:ser>
          <c:idx val="3"/>
          <c:order val="1"/>
          <c:spPr>
            <a:solidFill>
              <a:schemeClr val="accent4"/>
            </a:solidFill>
            <a:ln>
              <a:noFill/>
            </a:ln>
            <a:effectLst/>
          </c:spPr>
          <c:invertIfNegative val="0"/>
          <c:cat>
            <c:strRef>
              <c:f>Outputs!$D$27:$D$29</c:f>
              <c:strCache>
                <c:ptCount val="3"/>
                <c:pt idx="0">
                  <c:v>Emissions gap based on MfE's baseline projection</c:v>
                </c:pt>
                <c:pt idx="1">
                  <c:v>Emissions gap based on New Zealand's domestic budgets</c:v>
                </c:pt>
                <c:pt idx="2">
                  <c:v>Emissions gap based on MfE's 'lower-emission' projection</c:v>
                </c:pt>
              </c:strCache>
            </c:strRef>
          </c:cat>
          <c:val>
            <c:numRef>
              <c:f>Outputs!$G$27:$G$29</c:f>
              <c:numCache>
                <c:formatCode>"$"#,##0.00</c:formatCode>
                <c:ptCount val="3"/>
                <c:pt idx="0">
                  <c:v>0</c:v>
                </c:pt>
                <c:pt idx="1">
                  <c:v>0</c:v>
                </c:pt>
                <c:pt idx="2">
                  <c:v>0</c:v>
                </c:pt>
              </c:numCache>
            </c:numRef>
          </c:val>
          <c:extLst>
            <c:ext xmlns:c15="http://schemas.microsoft.com/office/drawing/2012/chart" uri="{02D57815-91ED-43cb-92C2-25804820EDAC}">
              <c15:filteredSeriesTitle>
                <c15:tx>
                  <c:strRef>
                    <c:extLst>
                      <c:ext uri="{02D57815-91ED-43cb-92C2-25804820EDAC}">
                        <c15:formulaRef>
                          <c15:sqref>Outputs!#REF!</c15:sqref>
                        </c15:formulaRef>
                      </c:ext>
                    </c:extLst>
                    <c:strCache>
                      <c:ptCount val="1"/>
                      <c:pt idx="0">
                        <c:v>#REF!</c:v>
                      </c:pt>
                    </c:strCache>
                  </c:strRef>
                </c15:tx>
              </c15:filteredSeriesTitle>
            </c:ext>
            <c:ext xmlns:c16="http://schemas.microsoft.com/office/drawing/2014/chart" uri="{C3380CC4-5D6E-409C-BE32-E72D297353CC}">
              <c16:uniqueId val="{00000004-2D30-4CDF-9FE5-B0D3FB024092}"/>
            </c:ext>
          </c:extLst>
        </c:ser>
        <c:ser>
          <c:idx val="2"/>
          <c:order val="2"/>
          <c:spPr>
            <a:solidFill>
              <a:schemeClr val="accent3"/>
            </a:solidFill>
            <a:ln>
              <a:noFill/>
            </a:ln>
            <a:effectLst/>
          </c:spPr>
          <c:invertIfNegative val="0"/>
          <c:cat>
            <c:strRef>
              <c:f>Outputs!$D$27:$D$29</c:f>
              <c:strCache>
                <c:ptCount val="3"/>
                <c:pt idx="0">
                  <c:v>Emissions gap based on MfE's baseline projection</c:v>
                </c:pt>
                <c:pt idx="1">
                  <c:v>Emissions gap based on New Zealand's domestic budgets</c:v>
                </c:pt>
                <c:pt idx="2">
                  <c:v>Emissions gap based on MfE's 'lower-emission' projection</c:v>
                </c:pt>
              </c:strCache>
            </c:strRef>
          </c:cat>
          <c:val>
            <c:numRef>
              <c:f>Outputs!$F$27:$F$29</c:f>
              <c:numCache>
                <c:formatCode>"$"#,##0.00</c:formatCode>
                <c:ptCount val="3"/>
                <c:pt idx="0">
                  <c:v>0</c:v>
                </c:pt>
                <c:pt idx="1">
                  <c:v>0</c:v>
                </c:pt>
                <c:pt idx="2">
                  <c:v>0</c:v>
                </c:pt>
              </c:numCache>
            </c:numRef>
          </c:val>
          <c:extLst>
            <c:ext xmlns:c15="http://schemas.microsoft.com/office/drawing/2012/chart" uri="{02D57815-91ED-43cb-92C2-25804820EDAC}">
              <c15:filteredSeriesTitle>
                <c15:tx>
                  <c:strRef>
                    <c:extLst>
                      <c:ext uri="{02D57815-91ED-43cb-92C2-25804820EDAC}">
                        <c15:formulaRef>
                          <c15:sqref>Outputs!#REF!</c15:sqref>
                        </c15:formulaRef>
                      </c:ext>
                    </c:extLst>
                    <c:strCache>
                      <c:ptCount val="1"/>
                      <c:pt idx="0">
                        <c:v>#REF!</c:v>
                      </c:pt>
                    </c:strCache>
                  </c:strRef>
                </c15:tx>
              </c15:filteredSeriesTitle>
            </c:ext>
            <c:ext xmlns:c16="http://schemas.microsoft.com/office/drawing/2014/chart" uri="{C3380CC4-5D6E-409C-BE32-E72D297353CC}">
              <c16:uniqueId val="{00000002-2D30-4CDF-9FE5-B0D3FB024092}"/>
            </c:ext>
          </c:extLst>
        </c:ser>
        <c:dLbls>
          <c:showLegendKey val="0"/>
          <c:showVal val="0"/>
          <c:showCatName val="0"/>
          <c:showSerName val="0"/>
          <c:showPercent val="0"/>
          <c:showBubbleSize val="0"/>
        </c:dLbls>
        <c:gapWidth val="219"/>
        <c:overlap val="-27"/>
        <c:axId val="241741272"/>
        <c:axId val="241741928"/>
        <c:extLst/>
      </c:barChart>
      <c:catAx>
        <c:axId val="24174127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Price</a:t>
                </a:r>
                <a:r>
                  <a:rPr lang="en-NZ" baseline="0"/>
                  <a:t> scenario</a:t>
                </a:r>
                <a:endParaRPr lang="en-NZ"/>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NZ"/>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1741928"/>
        <c:crosses val="autoZero"/>
        <c:auto val="1"/>
        <c:lblAlgn val="ctr"/>
        <c:lblOffset val="100"/>
        <c:noMultiLvlLbl val="0"/>
      </c:catAx>
      <c:valAx>
        <c:axId val="2417419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$billions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1741272"/>
        <c:crosses val="autoZero"/>
        <c:crossBetween val="between"/>
        <c:dispUnits>
          <c:builtInUnit val="thousands"/>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8</xdr:col>
      <xdr:colOff>0</xdr:colOff>
      <xdr:row>1</xdr:row>
      <xdr:rowOff>152400</xdr:rowOff>
    </xdr:from>
    <xdr:to>
      <xdr:col>10</xdr:col>
      <xdr:colOff>1374322</xdr:colOff>
      <xdr:row>17</xdr:row>
      <xdr:rowOff>47625</xdr:rowOff>
    </xdr:to>
    <xdr:graphicFrame macro="">
      <xdr:nvGraphicFramePr>
        <xdr:cNvPr id="2" name="Chart 1">
          <a:extLst>
            <a:ext uri="{FF2B5EF4-FFF2-40B4-BE49-F238E27FC236}">
              <a16:creationId xmlns:a16="http://schemas.microsoft.com/office/drawing/2014/main" id="{6BC2E64C-10D7-844B-7E43-C45E1CE450D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666749</xdr:colOff>
      <xdr:row>21</xdr:row>
      <xdr:rowOff>214311</xdr:rowOff>
    </xdr:from>
    <xdr:to>
      <xdr:col>9</xdr:col>
      <xdr:colOff>1438274</xdr:colOff>
      <xdr:row>41</xdr:row>
      <xdr:rowOff>180974</xdr:rowOff>
    </xdr:to>
    <xdr:graphicFrame macro="">
      <xdr:nvGraphicFramePr>
        <xdr:cNvPr id="3" name="Chart 1">
          <a:extLst>
            <a:ext uri="{FF2B5EF4-FFF2-40B4-BE49-F238E27FC236}">
              <a16:creationId xmlns:a16="http://schemas.microsoft.com/office/drawing/2014/main" id="{9B13BFD6-CFDF-D6AF-7B96-F532A3D8E9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523875</xdr:colOff>
      <xdr:row>17</xdr:row>
      <xdr:rowOff>142875</xdr:rowOff>
    </xdr:from>
    <xdr:to>
      <xdr:col>13</xdr:col>
      <xdr:colOff>393699</xdr:colOff>
      <xdr:row>30</xdr:row>
      <xdr:rowOff>111125</xdr:rowOff>
    </xdr:to>
    <xdr:graphicFrame macro="">
      <xdr:nvGraphicFramePr>
        <xdr:cNvPr id="2" name="Chart 1">
          <a:extLst>
            <a:ext uri="{FF2B5EF4-FFF2-40B4-BE49-F238E27FC236}">
              <a16:creationId xmlns:a16="http://schemas.microsoft.com/office/drawing/2014/main" id="{3E812CAC-C654-4630-8EE6-97329715E8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rbnz.govt.nz/statistics/series/exchange-and-interest-rates/exchange-rates-and-the-trade-weighted-index" TargetMode="External"/><Relationship Id="rId1" Type="http://schemas.openxmlformats.org/officeDocument/2006/relationships/hyperlink" Target="https://www.treasury.govt.nz/information-and-services/state-sector-leadership/guidance/reporting-financial/discount-rates/discount-rates-and-cpi-assumptions-accounting-valuation-purpose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CB135-3AE2-4326-A976-D87C1FFC8F1F}">
  <sheetPr codeName="Sheet6">
    <tabColor theme="1"/>
  </sheetPr>
  <dimension ref="A2:C31"/>
  <sheetViews>
    <sheetView showGridLines="0" workbookViewId="0">
      <selection activeCell="E13" sqref="E13"/>
    </sheetView>
  </sheetViews>
  <sheetFormatPr defaultRowHeight="15" x14ac:dyDescent="0.25"/>
  <cols>
    <col min="1" max="1" width="28" customWidth="1"/>
    <col min="2" max="2" width="69.85546875" customWidth="1"/>
    <col min="3" max="3" width="61.42578125" bestFit="1" customWidth="1"/>
  </cols>
  <sheetData>
    <row r="2" spans="1:3" x14ac:dyDescent="0.25">
      <c r="A2" s="1" t="s">
        <v>0</v>
      </c>
      <c r="B2" s="34" t="s">
        <v>1</v>
      </c>
    </row>
    <row r="3" spans="1:3" x14ac:dyDescent="0.25">
      <c r="B3" s="11"/>
    </row>
    <row r="4" spans="1:3" ht="30" x14ac:dyDescent="0.25">
      <c r="A4" s="1" t="s">
        <v>2</v>
      </c>
      <c r="B4" s="191" t="s">
        <v>3</v>
      </c>
    </row>
    <row r="5" spans="1:3" x14ac:dyDescent="0.25">
      <c r="A5" s="1"/>
      <c r="B5" s="47"/>
    </row>
    <row r="6" spans="1:3" x14ac:dyDescent="0.25">
      <c r="A6" s="1" t="s">
        <v>4</v>
      </c>
      <c r="B6" s="179">
        <v>45577</v>
      </c>
    </row>
    <row r="7" spans="1:3" x14ac:dyDescent="0.25">
      <c r="A7" s="1"/>
      <c r="B7" s="47"/>
    </row>
    <row r="8" spans="1:3" x14ac:dyDescent="0.25">
      <c r="B8" s="11" t="s">
        <v>5</v>
      </c>
    </row>
    <row r="9" spans="1:3" ht="90" x14ac:dyDescent="0.25">
      <c r="A9" s="163" t="s">
        <v>6</v>
      </c>
      <c r="B9" s="35" t="s">
        <v>7</v>
      </c>
    </row>
    <row r="11" spans="1:3" x14ac:dyDescent="0.25">
      <c r="B11" s="11" t="s">
        <v>8</v>
      </c>
    </row>
    <row r="12" spans="1:3" x14ac:dyDescent="0.25">
      <c r="A12" s="1" t="s">
        <v>9</v>
      </c>
      <c r="B12" s="125" t="s">
        <v>10</v>
      </c>
      <c r="C12" s="33" t="s">
        <v>11</v>
      </c>
    </row>
    <row r="13" spans="1:3" ht="30" x14ac:dyDescent="0.25">
      <c r="B13" s="117" t="s">
        <v>12</v>
      </c>
      <c r="C13" s="119" t="s">
        <v>13</v>
      </c>
    </row>
    <row r="14" spans="1:3" ht="135" x14ac:dyDescent="0.25">
      <c r="B14" s="117" t="s">
        <v>14</v>
      </c>
      <c r="C14" s="119" t="s">
        <v>15</v>
      </c>
    </row>
    <row r="15" spans="1:3" ht="90" x14ac:dyDescent="0.25">
      <c r="B15" s="117" t="s">
        <v>16</v>
      </c>
      <c r="C15" s="119" t="s">
        <v>17</v>
      </c>
    </row>
    <row r="16" spans="1:3" ht="45" x14ac:dyDescent="0.25">
      <c r="B16" s="117" t="s">
        <v>18</v>
      </c>
      <c r="C16" s="119" t="s">
        <v>19</v>
      </c>
    </row>
    <row r="17" spans="1:3" ht="75.75" customHeight="1" x14ac:dyDescent="0.25">
      <c r="B17" s="117" t="s">
        <v>20</v>
      </c>
      <c r="C17" s="119" t="s">
        <v>21</v>
      </c>
    </row>
    <row r="18" spans="1:3" ht="45" x14ac:dyDescent="0.25">
      <c r="B18" s="118" t="s">
        <v>22</v>
      </c>
      <c r="C18" s="119" t="s">
        <v>23</v>
      </c>
    </row>
    <row r="19" spans="1:3" ht="49.5" customHeight="1" x14ac:dyDescent="0.25">
      <c r="B19" s="117" t="s">
        <v>24</v>
      </c>
      <c r="C19" s="120" t="s">
        <v>25</v>
      </c>
    </row>
    <row r="20" spans="1:3" ht="35.25" customHeight="1" x14ac:dyDescent="0.25">
      <c r="B20" s="117" t="s">
        <v>26</v>
      </c>
      <c r="C20" s="120" t="s">
        <v>27</v>
      </c>
    </row>
    <row r="21" spans="1:3" ht="34.5" customHeight="1" x14ac:dyDescent="0.25">
      <c r="B21" s="117" t="s">
        <v>28</v>
      </c>
      <c r="C21" s="120" t="s">
        <v>29</v>
      </c>
    </row>
    <row r="22" spans="1:3" ht="48.75" customHeight="1" x14ac:dyDescent="0.25">
      <c r="B22" s="117" t="s">
        <v>30</v>
      </c>
      <c r="C22" s="120" t="s">
        <v>31</v>
      </c>
    </row>
    <row r="24" spans="1:3" x14ac:dyDescent="0.25">
      <c r="A24" s="1" t="s">
        <v>32</v>
      </c>
      <c r="B24" s="125" t="s">
        <v>33</v>
      </c>
      <c r="C24" s="33" t="s">
        <v>34</v>
      </c>
    </row>
    <row r="25" spans="1:3" x14ac:dyDescent="0.25">
      <c r="A25" s="1"/>
      <c r="B25" s="164" t="s">
        <v>35</v>
      </c>
      <c r="C25" s="38" t="s">
        <v>36</v>
      </c>
    </row>
    <row r="26" spans="1:3" x14ac:dyDescent="0.25">
      <c r="B26" s="165" t="s">
        <v>37</v>
      </c>
      <c r="C26" s="12" t="s">
        <v>38</v>
      </c>
    </row>
    <row r="27" spans="1:3" x14ac:dyDescent="0.25">
      <c r="B27" s="166" t="s">
        <v>39</v>
      </c>
      <c r="C27" s="12" t="s">
        <v>40</v>
      </c>
    </row>
    <row r="28" spans="1:3" x14ac:dyDescent="0.25">
      <c r="B28" s="167" t="s">
        <v>41</v>
      </c>
      <c r="C28" s="13" t="s">
        <v>42</v>
      </c>
    </row>
    <row r="29" spans="1:3" ht="15.75" thickBot="1" x14ac:dyDescent="0.3"/>
    <row r="30" spans="1:3" ht="16.5" thickTop="1" thickBot="1" x14ac:dyDescent="0.3">
      <c r="A30" s="1" t="s">
        <v>43</v>
      </c>
      <c r="B30" s="197" t="e">
        <f ca="1">Checks!D17</f>
        <v>#VALUE!</v>
      </c>
      <c r="C30" s="220" t="s">
        <v>44</v>
      </c>
    </row>
    <row r="31" spans="1:3" ht="15.75" thickTop="1" x14ac:dyDescent="0.25"/>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0CC33-D0DE-4640-96BC-8429FBFC38BD}">
  <sheetPr codeName="Sheet4">
    <tabColor rgb="FF9954CC"/>
  </sheetPr>
  <dimension ref="A1:I109"/>
  <sheetViews>
    <sheetView zoomScaleNormal="100" workbookViewId="0">
      <selection activeCell="G1" sqref="G1"/>
    </sheetView>
  </sheetViews>
  <sheetFormatPr defaultRowHeight="15" x14ac:dyDescent="0.25"/>
  <cols>
    <col min="1" max="1" width="30.5703125" customWidth="1"/>
    <col min="2" max="2" width="4.5703125" customWidth="1"/>
    <col min="3" max="3" width="30.5703125" customWidth="1"/>
    <col min="4" max="4" width="30.5703125" style="15" customWidth="1"/>
    <col min="5" max="7" width="30.5703125" style="3" customWidth="1"/>
  </cols>
  <sheetData>
    <row r="1" spans="1:7" ht="16.5" thickTop="1" thickBot="1" x14ac:dyDescent="0.3">
      <c r="C1" t="s">
        <v>45</v>
      </c>
      <c r="D1" t="s">
        <v>56</v>
      </c>
      <c r="E1" s="197" t="e">
        <f ca="1">Checks!$D$17</f>
        <v>#VALUE!</v>
      </c>
      <c r="F1" t="s">
        <v>57</v>
      </c>
      <c r="G1" s="197" t="e">
        <f ca="1">SUM(E6, H69:H105)</f>
        <v>#VALUE!</v>
      </c>
    </row>
    <row r="2" spans="1:7" ht="18" thickTop="1" x14ac:dyDescent="0.3">
      <c r="C2" s="8" t="s">
        <v>237</v>
      </c>
      <c r="F2" s="25"/>
      <c r="G2" s="25"/>
    </row>
    <row r="3" spans="1:7" ht="17.25" x14ac:dyDescent="0.3">
      <c r="C3" s="8"/>
      <c r="F3" s="25"/>
      <c r="G3" s="25"/>
    </row>
    <row r="4" spans="1:7" ht="17.25" x14ac:dyDescent="0.3">
      <c r="C4" s="8" t="s">
        <v>221</v>
      </c>
      <c r="D4" s="262">
        <v>55</v>
      </c>
      <c r="E4" s="371" t="s">
        <v>222</v>
      </c>
      <c r="F4" s="25"/>
      <c r="G4" s="25"/>
    </row>
    <row r="5" spans="1:7" ht="15.75" thickBot="1" x14ac:dyDescent="0.3">
      <c r="C5" t="s">
        <v>238</v>
      </c>
      <c r="D5" s="283">
        <f>MATCH(D4, 'Calcs - Price x Vol'!D4:AF4)</f>
        <v>8</v>
      </c>
      <c r="E5" s="371"/>
      <c r="F5" s="25"/>
      <c r="G5" s="25"/>
    </row>
    <row r="6" spans="1:7" ht="16.5" thickTop="1" thickBot="1" x14ac:dyDescent="0.3">
      <c r="D6"/>
      <c r="E6" s="197">
        <f ca="1">--(NOT(OFFSET('Calcs - Price x Vol'!$C$4, 32, D5-1) = C90))</f>
        <v>0</v>
      </c>
      <c r="F6" s="284" t="s">
        <v>239</v>
      </c>
      <c r="G6"/>
    </row>
    <row r="7" spans="1:7" ht="18" thickTop="1" x14ac:dyDescent="0.3">
      <c r="C7" s="8"/>
      <c r="F7" s="25"/>
      <c r="G7" s="25"/>
    </row>
    <row r="8" spans="1:7" ht="30" x14ac:dyDescent="0.25">
      <c r="A8" s="61" t="s">
        <v>48</v>
      </c>
      <c r="C8" s="255" t="str" cm="1">
        <f t="array" aca="1" ref="C8:G51" ca="1">OFFSET('Calcs - Price x Vol'!$C$4, 2, $D$5-1, 44, 5)</f>
        <v>With-existing measures (WEM) - Baseline</v>
      </c>
      <c r="D8" s="132" t="str">
        <f ca="1"/>
        <v>Year</v>
      </c>
      <c r="E8" s="183" t="str">
        <f ca="1"/>
        <v>IEA - Emerging and developed economies</v>
      </c>
      <c r="F8" s="183" t="str">
        <f ca="1"/>
        <v>Average of current market prices</v>
      </c>
      <c r="G8" s="247" t="str">
        <f ca="1"/>
        <v>IEA - Selected EMDE with net zero targets scenario</v>
      </c>
    </row>
    <row r="9" spans="1:7" ht="15" customHeight="1" x14ac:dyDescent="0.25">
      <c r="A9" s="318" t="s">
        <v>240</v>
      </c>
      <c r="C9" s="285">
        <f ca="1"/>
        <v>0</v>
      </c>
      <c r="D9" s="42">
        <f ca="1"/>
        <v>2024</v>
      </c>
      <c r="E9" s="248">
        <f ca="1"/>
        <v>0</v>
      </c>
      <c r="F9" s="96" t="e">
        <f ca="1"/>
        <v>#VALUE!</v>
      </c>
      <c r="G9" s="97">
        <f ca="1"/>
        <v>0</v>
      </c>
    </row>
    <row r="10" spans="1:7" x14ac:dyDescent="0.25">
      <c r="A10" s="314"/>
      <c r="C10" s="285">
        <f ca="1"/>
        <v>0</v>
      </c>
      <c r="D10" s="43">
        <f ca="1"/>
        <v>2025</v>
      </c>
      <c r="E10" s="249">
        <f ca="1"/>
        <v>0</v>
      </c>
      <c r="F10" s="98">
        <f ca="1"/>
        <v>0</v>
      </c>
      <c r="G10" s="99">
        <f ca="1"/>
        <v>0</v>
      </c>
    </row>
    <row r="11" spans="1:7" x14ac:dyDescent="0.25">
      <c r="A11" s="314"/>
      <c r="C11" s="285">
        <f ca="1"/>
        <v>0</v>
      </c>
      <c r="D11" s="43">
        <f ca="1"/>
        <v>2026</v>
      </c>
      <c r="E11" s="249">
        <f ca="1"/>
        <v>0</v>
      </c>
      <c r="F11" s="98">
        <f ca="1"/>
        <v>0</v>
      </c>
      <c r="G11" s="99">
        <f ca="1"/>
        <v>0</v>
      </c>
    </row>
    <row r="12" spans="1:7" x14ac:dyDescent="0.25">
      <c r="A12" s="314"/>
      <c r="C12" s="285">
        <f ca="1"/>
        <v>0</v>
      </c>
      <c r="D12" s="43">
        <f ca="1"/>
        <v>2027</v>
      </c>
      <c r="E12" s="249">
        <f ca="1"/>
        <v>0</v>
      </c>
      <c r="F12" s="98">
        <f ca="1"/>
        <v>0</v>
      </c>
      <c r="G12" s="99">
        <f ca="1"/>
        <v>0</v>
      </c>
    </row>
    <row r="13" spans="1:7" x14ac:dyDescent="0.25">
      <c r="A13" s="314"/>
      <c r="C13" s="285">
        <f ca="1"/>
        <v>0</v>
      </c>
      <c r="D13" s="43">
        <f ca="1"/>
        <v>2028</v>
      </c>
      <c r="E13" s="249">
        <f ca="1"/>
        <v>0</v>
      </c>
      <c r="F13" s="98">
        <f ca="1"/>
        <v>0</v>
      </c>
      <c r="G13" s="99">
        <f ca="1"/>
        <v>0</v>
      </c>
    </row>
    <row r="14" spans="1:7" x14ac:dyDescent="0.25">
      <c r="A14" s="314"/>
      <c r="C14" s="285">
        <f ca="1"/>
        <v>0</v>
      </c>
      <c r="D14" s="43">
        <f ca="1"/>
        <v>2029</v>
      </c>
      <c r="E14" s="249">
        <f ca="1"/>
        <v>0</v>
      </c>
      <c r="F14" s="98">
        <f ca="1"/>
        <v>0</v>
      </c>
      <c r="G14" s="99">
        <f ca="1"/>
        <v>0</v>
      </c>
    </row>
    <row r="15" spans="1:7" x14ac:dyDescent="0.25">
      <c r="A15" s="314"/>
      <c r="C15" s="285">
        <f ca="1"/>
        <v>0</v>
      </c>
      <c r="D15" s="43">
        <f ca="1"/>
        <v>2030</v>
      </c>
      <c r="E15" s="249">
        <f ca="1"/>
        <v>0</v>
      </c>
      <c r="F15" s="98">
        <f ca="1"/>
        <v>0</v>
      </c>
      <c r="G15" s="99">
        <f ca="1"/>
        <v>0</v>
      </c>
    </row>
    <row r="16" spans="1:7" x14ac:dyDescent="0.25">
      <c r="A16" s="314"/>
      <c r="C16" s="285">
        <f ca="1"/>
        <v>0</v>
      </c>
      <c r="D16" s="43">
        <f ca="1"/>
        <v>2031</v>
      </c>
      <c r="E16" s="249">
        <f ca="1"/>
        <v>89.283867074707388</v>
      </c>
      <c r="F16" s="98">
        <f ca="1"/>
        <v>0</v>
      </c>
      <c r="G16" s="99">
        <f ca="1"/>
        <v>298.81541285696056</v>
      </c>
    </row>
    <row r="17" spans="1:7" x14ac:dyDescent="0.25">
      <c r="A17" s="314"/>
      <c r="C17" s="285">
        <f ca="1"/>
        <v>0</v>
      </c>
      <c r="D17" s="43">
        <f ca="1"/>
        <v>2032</v>
      </c>
      <c r="E17" s="249">
        <f ca="1"/>
        <v>102.56023123649031</v>
      </c>
      <c r="F17" s="98">
        <f ca="1"/>
        <v>0</v>
      </c>
      <c r="G17" s="99">
        <f ca="1"/>
        <v>319.10712065506021</v>
      </c>
    </row>
    <row r="18" spans="1:7" x14ac:dyDescent="0.25">
      <c r="C18" s="285">
        <f ca="1"/>
        <v>0</v>
      </c>
      <c r="D18" s="43">
        <f ca="1"/>
        <v>2033</v>
      </c>
      <c r="E18" s="249">
        <f ca="1"/>
        <v>117.81076890947195</v>
      </c>
      <c r="F18" s="98">
        <f ca="1"/>
        <v>0</v>
      </c>
      <c r="G18" s="99">
        <f ca="1"/>
        <v>340.77678081989592</v>
      </c>
    </row>
    <row r="19" spans="1:7" x14ac:dyDescent="0.25">
      <c r="C19" s="285">
        <f ca="1"/>
        <v>0</v>
      </c>
      <c r="D19" s="43">
        <f ca="1"/>
        <v>2034</v>
      </c>
      <c r="E19" s="249">
        <f ca="1"/>
        <v>135.32903644724627</v>
      </c>
      <c r="F19" s="98">
        <f ca="1"/>
        <v>0</v>
      </c>
      <c r="G19" s="99">
        <f ca="1"/>
        <v>363.91796619136301</v>
      </c>
    </row>
    <row r="20" spans="1:7" x14ac:dyDescent="0.25">
      <c r="C20" s="285">
        <f ca="1"/>
        <v>0</v>
      </c>
      <c r="D20" s="43">
        <f ca="1"/>
        <v>2035</v>
      </c>
      <c r="E20" s="250">
        <f ca="1"/>
        <v>155.45224155028561</v>
      </c>
      <c r="F20" s="100">
        <f ca="1"/>
        <v>0</v>
      </c>
      <c r="G20" s="101">
        <f ca="1"/>
        <v>388.63060387571409</v>
      </c>
    </row>
    <row r="21" spans="1:7" x14ac:dyDescent="0.25">
      <c r="C21" s="286">
        <f ca="1"/>
        <v>0</v>
      </c>
      <c r="D21" s="18" t="str">
        <f ca="1"/>
        <v>Total</v>
      </c>
      <c r="E21" s="108">
        <f ca="1"/>
        <v>600.43614521820155</v>
      </c>
      <c r="F21" s="108" t="e">
        <f ca="1"/>
        <v>#VALUE!</v>
      </c>
      <c r="G21" s="109">
        <f ca="1"/>
        <v>1711.2478843989936</v>
      </c>
    </row>
    <row r="22" spans="1:7" x14ac:dyDescent="0.25">
      <c r="C22">
        <f ca="1"/>
        <v>0</v>
      </c>
      <c r="D22" s="15">
        <f ca="1"/>
        <v>0</v>
      </c>
      <c r="E22" s="15">
        <f ca="1"/>
        <v>0</v>
      </c>
      <c r="F22" s="15">
        <f ca="1"/>
        <v>0</v>
      </c>
      <c r="G22" s="15">
        <f ca="1"/>
        <v>0</v>
      </c>
    </row>
    <row r="23" spans="1:7" ht="30" x14ac:dyDescent="0.25">
      <c r="C23" s="256" t="str">
        <f ca="1"/>
        <v>Emissions path consistent with domestic budgets (MT CO2e)</v>
      </c>
      <c r="D23" s="132" t="str">
        <f ca="1"/>
        <v>Year</v>
      </c>
      <c r="E23" s="183" t="str">
        <f ca="1"/>
        <v>IEA - Emerging and developed economies</v>
      </c>
      <c r="F23" s="183" t="str">
        <f ca="1"/>
        <v>Average of current market prices</v>
      </c>
      <c r="G23" s="247" t="str">
        <f ca="1"/>
        <v>IEA - Selected EMDE with net zero targets scenario</v>
      </c>
    </row>
    <row r="24" spans="1:7" x14ac:dyDescent="0.25">
      <c r="C24" s="287">
        <f ca="1"/>
        <v>0</v>
      </c>
      <c r="D24" s="42">
        <f ca="1"/>
        <v>2024</v>
      </c>
      <c r="E24" s="248">
        <f ca="1"/>
        <v>0</v>
      </c>
      <c r="F24" s="96" t="e">
        <f ca="1"/>
        <v>#VALUE!</v>
      </c>
      <c r="G24" s="97">
        <f ca="1"/>
        <v>0</v>
      </c>
    </row>
    <row r="25" spans="1:7" x14ac:dyDescent="0.25">
      <c r="C25" s="287">
        <f ca="1"/>
        <v>0</v>
      </c>
      <c r="D25" s="43">
        <f ca="1"/>
        <v>2025</v>
      </c>
      <c r="E25" s="249">
        <f ca="1"/>
        <v>0</v>
      </c>
      <c r="F25" s="98">
        <f ca="1"/>
        <v>0</v>
      </c>
      <c r="G25" s="99">
        <f ca="1"/>
        <v>0</v>
      </c>
    </row>
    <row r="26" spans="1:7" x14ac:dyDescent="0.25">
      <c r="C26" s="287">
        <f ca="1"/>
        <v>0</v>
      </c>
      <c r="D26" s="43">
        <f ca="1"/>
        <v>2026</v>
      </c>
      <c r="E26" s="249">
        <f ca="1"/>
        <v>0</v>
      </c>
      <c r="F26" s="98">
        <f ca="1"/>
        <v>0</v>
      </c>
      <c r="G26" s="99">
        <f ca="1"/>
        <v>0</v>
      </c>
    </row>
    <row r="27" spans="1:7" x14ac:dyDescent="0.25">
      <c r="C27" s="287">
        <f ca="1"/>
        <v>0</v>
      </c>
      <c r="D27" s="43">
        <f ca="1"/>
        <v>2027</v>
      </c>
      <c r="E27" s="249">
        <f ca="1"/>
        <v>0</v>
      </c>
      <c r="F27" s="98">
        <f ca="1"/>
        <v>0</v>
      </c>
      <c r="G27" s="99">
        <f ca="1"/>
        <v>0</v>
      </c>
    </row>
    <row r="28" spans="1:7" x14ac:dyDescent="0.25">
      <c r="C28" s="287">
        <f ca="1"/>
        <v>0</v>
      </c>
      <c r="D28" s="43">
        <f ca="1"/>
        <v>2028</v>
      </c>
      <c r="E28" s="249">
        <f ca="1"/>
        <v>0</v>
      </c>
      <c r="F28" s="98">
        <f ca="1"/>
        <v>0</v>
      </c>
      <c r="G28" s="99">
        <f ca="1"/>
        <v>0</v>
      </c>
    </row>
    <row r="29" spans="1:7" x14ac:dyDescent="0.25">
      <c r="C29" s="287">
        <f ca="1"/>
        <v>0</v>
      </c>
      <c r="D29" s="43">
        <f ca="1"/>
        <v>2029</v>
      </c>
      <c r="E29" s="249">
        <f ca="1"/>
        <v>0</v>
      </c>
      <c r="F29" s="98">
        <f ca="1"/>
        <v>0</v>
      </c>
      <c r="G29" s="99">
        <f ca="1"/>
        <v>0</v>
      </c>
    </row>
    <row r="30" spans="1:7" x14ac:dyDescent="0.25">
      <c r="C30" s="287">
        <f ca="1"/>
        <v>0</v>
      </c>
      <c r="D30" s="43">
        <f ca="1"/>
        <v>2030</v>
      </c>
      <c r="E30" s="249">
        <f ca="1"/>
        <v>0</v>
      </c>
      <c r="F30" s="98">
        <f ca="1"/>
        <v>0</v>
      </c>
      <c r="G30" s="99">
        <f ca="1"/>
        <v>0</v>
      </c>
    </row>
    <row r="31" spans="1:7" x14ac:dyDescent="0.25">
      <c r="C31" s="287">
        <f ca="1"/>
        <v>0</v>
      </c>
      <c r="D31" s="43">
        <f ca="1"/>
        <v>2031</v>
      </c>
      <c r="E31" s="249">
        <f ca="1"/>
        <v>89.283867074707388</v>
      </c>
      <c r="F31" s="98">
        <f ca="1"/>
        <v>0</v>
      </c>
      <c r="G31" s="99">
        <f ca="1"/>
        <v>298.81541285696056</v>
      </c>
    </row>
    <row r="32" spans="1:7" x14ac:dyDescent="0.25">
      <c r="C32" s="287">
        <f ca="1"/>
        <v>0</v>
      </c>
      <c r="D32" s="43">
        <f ca="1"/>
        <v>2032</v>
      </c>
      <c r="E32" s="249">
        <f ca="1"/>
        <v>102.56023123649031</v>
      </c>
      <c r="F32" s="98">
        <f ca="1"/>
        <v>0</v>
      </c>
      <c r="G32" s="99">
        <f ca="1"/>
        <v>319.10712065506021</v>
      </c>
    </row>
    <row r="33" spans="3:7" x14ac:dyDescent="0.25">
      <c r="C33" s="287">
        <f ca="1"/>
        <v>0</v>
      </c>
      <c r="D33" s="43">
        <f ca="1"/>
        <v>2033</v>
      </c>
      <c r="E33" s="249">
        <f ca="1"/>
        <v>117.81076890947195</v>
      </c>
      <c r="F33" s="98">
        <f ca="1"/>
        <v>0</v>
      </c>
      <c r="G33" s="99">
        <f ca="1"/>
        <v>340.77678081989592</v>
      </c>
    </row>
    <row r="34" spans="3:7" x14ac:dyDescent="0.25">
      <c r="C34" s="287">
        <f ca="1"/>
        <v>0</v>
      </c>
      <c r="D34" s="43">
        <f ca="1"/>
        <v>2034</v>
      </c>
      <c r="E34" s="249">
        <f ca="1"/>
        <v>135.32903644724627</v>
      </c>
      <c r="F34" s="98">
        <f ca="1"/>
        <v>0</v>
      </c>
      <c r="G34" s="99">
        <f ca="1"/>
        <v>363.91796619136301</v>
      </c>
    </row>
    <row r="35" spans="3:7" x14ac:dyDescent="0.25">
      <c r="C35" s="287">
        <f ca="1"/>
        <v>0</v>
      </c>
      <c r="D35" s="43">
        <f ca="1"/>
        <v>2035</v>
      </c>
      <c r="E35" s="250">
        <f ca="1"/>
        <v>155.45224155028561</v>
      </c>
      <c r="F35" s="100">
        <f ca="1"/>
        <v>0</v>
      </c>
      <c r="G35" s="101">
        <f ca="1"/>
        <v>388.63060387571409</v>
      </c>
    </row>
    <row r="36" spans="3:7" x14ac:dyDescent="0.25">
      <c r="C36" s="288">
        <f ca="1"/>
        <v>0</v>
      </c>
      <c r="D36" s="18" t="str">
        <f ca="1"/>
        <v>Total</v>
      </c>
      <c r="E36" s="108">
        <f ca="1"/>
        <v>600.43614521820155</v>
      </c>
      <c r="F36" s="108" t="e">
        <f ca="1"/>
        <v>#VALUE!</v>
      </c>
      <c r="G36" s="109">
        <f ca="1"/>
        <v>1711.2478843989936</v>
      </c>
    </row>
    <row r="37" spans="3:7" x14ac:dyDescent="0.25">
      <c r="C37">
        <f ca="1"/>
        <v>0</v>
      </c>
      <c r="D37" s="15">
        <f ca="1"/>
        <v>0</v>
      </c>
      <c r="E37" s="15">
        <f ca="1"/>
        <v>0</v>
      </c>
      <c r="F37" s="15">
        <f ca="1"/>
        <v>0</v>
      </c>
      <c r="G37" s="15">
        <f ca="1"/>
        <v>0</v>
      </c>
    </row>
    <row r="38" spans="3:7" ht="30" x14ac:dyDescent="0.25">
      <c r="C38" s="257" t="str">
        <f ca="1"/>
        <v>WEM Low</v>
      </c>
      <c r="D38" s="132" t="str">
        <f ca="1"/>
        <v>Year</v>
      </c>
      <c r="E38" s="183" t="str">
        <f ca="1"/>
        <v>IEA - Emerging and developed economies</v>
      </c>
      <c r="F38" s="183" t="str">
        <f ca="1"/>
        <v>Average of current market prices</v>
      </c>
      <c r="G38" s="247" t="str">
        <f ca="1"/>
        <v>IEA - Selected EMDE with net zero targets scenario</v>
      </c>
    </row>
    <row r="39" spans="3:7" x14ac:dyDescent="0.25">
      <c r="C39" s="289">
        <f ca="1"/>
        <v>0</v>
      </c>
      <c r="D39" s="42">
        <f ca="1"/>
        <v>2024</v>
      </c>
      <c r="E39" s="248">
        <f ca="1"/>
        <v>0</v>
      </c>
      <c r="F39" s="96" t="e">
        <f ca="1"/>
        <v>#VALUE!</v>
      </c>
      <c r="G39" s="97">
        <f ca="1"/>
        <v>0</v>
      </c>
    </row>
    <row r="40" spans="3:7" x14ac:dyDescent="0.25">
      <c r="C40" s="289">
        <f ca="1"/>
        <v>0</v>
      </c>
      <c r="D40" s="43">
        <f ca="1"/>
        <v>2025</v>
      </c>
      <c r="E40" s="249">
        <f ca="1"/>
        <v>0</v>
      </c>
      <c r="F40" s="98">
        <f ca="1"/>
        <v>0</v>
      </c>
      <c r="G40" s="99">
        <f ca="1"/>
        <v>0</v>
      </c>
    </row>
    <row r="41" spans="3:7" x14ac:dyDescent="0.25">
      <c r="C41" s="289">
        <f ca="1"/>
        <v>0</v>
      </c>
      <c r="D41" s="43">
        <f ca="1"/>
        <v>2026</v>
      </c>
      <c r="E41" s="249">
        <f ca="1"/>
        <v>0</v>
      </c>
      <c r="F41" s="98">
        <f ca="1"/>
        <v>0</v>
      </c>
      <c r="G41" s="99">
        <f ca="1"/>
        <v>0</v>
      </c>
    </row>
    <row r="42" spans="3:7" x14ac:dyDescent="0.25">
      <c r="C42" s="289">
        <f ca="1"/>
        <v>0</v>
      </c>
      <c r="D42" s="43">
        <f ca="1"/>
        <v>2027</v>
      </c>
      <c r="E42" s="249">
        <f ca="1"/>
        <v>0</v>
      </c>
      <c r="F42" s="98">
        <f ca="1"/>
        <v>0</v>
      </c>
      <c r="G42" s="99">
        <f ca="1"/>
        <v>0</v>
      </c>
    </row>
    <row r="43" spans="3:7" x14ac:dyDescent="0.25">
      <c r="C43" s="289">
        <f ca="1"/>
        <v>0</v>
      </c>
      <c r="D43" s="43">
        <f ca="1"/>
        <v>2028</v>
      </c>
      <c r="E43" s="249">
        <f ca="1"/>
        <v>0</v>
      </c>
      <c r="F43" s="98">
        <f ca="1"/>
        <v>0</v>
      </c>
      <c r="G43" s="99">
        <f ca="1"/>
        <v>0</v>
      </c>
    </row>
    <row r="44" spans="3:7" x14ac:dyDescent="0.25">
      <c r="C44" s="289">
        <f ca="1"/>
        <v>0</v>
      </c>
      <c r="D44" s="43">
        <f ca="1"/>
        <v>2029</v>
      </c>
      <c r="E44" s="249">
        <f ca="1"/>
        <v>0</v>
      </c>
      <c r="F44" s="98">
        <f ca="1"/>
        <v>0</v>
      </c>
      <c r="G44" s="99">
        <f ca="1"/>
        <v>0</v>
      </c>
    </row>
    <row r="45" spans="3:7" x14ac:dyDescent="0.25">
      <c r="C45" s="289">
        <f ca="1"/>
        <v>0</v>
      </c>
      <c r="D45" s="43">
        <f ca="1"/>
        <v>2030</v>
      </c>
      <c r="E45" s="249">
        <f ca="1"/>
        <v>0</v>
      </c>
      <c r="F45" s="98">
        <f ca="1"/>
        <v>0</v>
      </c>
      <c r="G45" s="99">
        <f ca="1"/>
        <v>0</v>
      </c>
    </row>
    <row r="46" spans="3:7" x14ac:dyDescent="0.25">
      <c r="C46" s="289">
        <f ca="1"/>
        <v>0</v>
      </c>
      <c r="D46" s="43">
        <f ca="1"/>
        <v>2031</v>
      </c>
      <c r="E46" s="249">
        <f ca="1"/>
        <v>89.283867074707388</v>
      </c>
      <c r="F46" s="98">
        <f ca="1"/>
        <v>0</v>
      </c>
      <c r="G46" s="99">
        <f ca="1"/>
        <v>298.81541285696056</v>
      </c>
    </row>
    <row r="47" spans="3:7" x14ac:dyDescent="0.25">
      <c r="C47" s="289">
        <f ca="1"/>
        <v>0</v>
      </c>
      <c r="D47" s="43">
        <f ca="1"/>
        <v>2032</v>
      </c>
      <c r="E47" s="249">
        <f ca="1"/>
        <v>102.56023123649031</v>
      </c>
      <c r="F47" s="98">
        <f ca="1"/>
        <v>0</v>
      </c>
      <c r="G47" s="99">
        <f ca="1"/>
        <v>319.10712065506021</v>
      </c>
    </row>
    <row r="48" spans="3:7" x14ac:dyDescent="0.25">
      <c r="C48" s="289">
        <f ca="1"/>
        <v>0</v>
      </c>
      <c r="D48" s="43">
        <f ca="1"/>
        <v>2033</v>
      </c>
      <c r="E48" s="249">
        <f ca="1"/>
        <v>117.81076890947195</v>
      </c>
      <c r="F48" s="98">
        <f ca="1"/>
        <v>0</v>
      </c>
      <c r="G48" s="99">
        <f ca="1"/>
        <v>340.77678081989592</v>
      </c>
    </row>
    <row r="49" spans="1:7" x14ac:dyDescent="0.25">
      <c r="C49" s="289">
        <f ca="1"/>
        <v>0</v>
      </c>
      <c r="D49" s="43">
        <f ca="1"/>
        <v>2034</v>
      </c>
      <c r="E49" s="249">
        <f ca="1"/>
        <v>135.32903644724627</v>
      </c>
      <c r="F49" s="98">
        <f ca="1"/>
        <v>0</v>
      </c>
      <c r="G49" s="99">
        <f ca="1"/>
        <v>363.91796619136301</v>
      </c>
    </row>
    <row r="50" spans="1:7" x14ac:dyDescent="0.25">
      <c r="C50" s="289">
        <f ca="1"/>
        <v>0</v>
      </c>
      <c r="D50" s="43">
        <f ca="1"/>
        <v>2035</v>
      </c>
      <c r="E50" s="250">
        <f ca="1"/>
        <v>155.45224155028561</v>
      </c>
      <c r="F50" s="100">
        <f ca="1"/>
        <v>0</v>
      </c>
      <c r="G50" s="101">
        <f ca="1"/>
        <v>388.63060387571409</v>
      </c>
    </row>
    <row r="51" spans="1:7" x14ac:dyDescent="0.25">
      <c r="C51" s="290">
        <f ca="1"/>
        <v>0</v>
      </c>
      <c r="D51" s="18" t="str">
        <f ca="1"/>
        <v>Total</v>
      </c>
      <c r="E51" s="108">
        <f ca="1"/>
        <v>600.43614521820155</v>
      </c>
      <c r="F51" s="108" t="e">
        <f ca="1"/>
        <v>#VALUE!</v>
      </c>
      <c r="G51" s="109">
        <f ca="1"/>
        <v>1711.2478843989936</v>
      </c>
    </row>
    <row r="52" spans="1:7" ht="17.25" x14ac:dyDescent="0.3">
      <c r="C52" s="8"/>
      <c r="F52" s="25"/>
      <c r="G52" s="25"/>
    </row>
    <row r="53" spans="1:7" ht="17.25" x14ac:dyDescent="0.3">
      <c r="C53" s="8"/>
      <c r="F53" s="25"/>
      <c r="G53" s="25"/>
    </row>
    <row r="54" spans="1:7" ht="17.25" x14ac:dyDescent="0.3">
      <c r="C54" s="8"/>
      <c r="F54" s="25"/>
      <c r="G54" s="25"/>
    </row>
    <row r="55" spans="1:7" x14ac:dyDescent="0.25">
      <c r="A55" s="61" t="s">
        <v>48</v>
      </c>
      <c r="F55" s="22"/>
      <c r="G55" s="25"/>
    </row>
    <row r="56" spans="1:7" ht="30" x14ac:dyDescent="0.25">
      <c r="A56" s="315" t="s">
        <v>241</v>
      </c>
      <c r="C56" s="343" t="s">
        <v>61</v>
      </c>
      <c r="D56" s="132" t="s">
        <v>60</v>
      </c>
      <c r="E56" s="71" t="s">
        <v>242</v>
      </c>
      <c r="F56" s="71" t="s">
        <v>192</v>
      </c>
      <c r="G56" s="72" t="s">
        <v>243</v>
      </c>
    </row>
    <row r="57" spans="1:7" x14ac:dyDescent="0.25">
      <c r="A57" s="316"/>
      <c r="C57" s="344"/>
      <c r="D57" s="124">
        <v>2024</v>
      </c>
      <c r="E57" s="111">
        <f ca="1">E9*'Calcs - Discounted cash flows'!$G8</f>
        <v>0</v>
      </c>
      <c r="F57" s="111" t="e">
        <f ca="1">F9*'Calcs - Discounted cash flows'!$G8</f>
        <v>#VALUE!</v>
      </c>
      <c r="G57" s="111">
        <f ca="1">G9*'Calcs - Discounted cash flows'!$G8</f>
        <v>0</v>
      </c>
    </row>
    <row r="58" spans="1:7" x14ac:dyDescent="0.25">
      <c r="A58" s="316"/>
      <c r="C58" s="344"/>
      <c r="D58" s="89">
        <v>2025</v>
      </c>
      <c r="E58" s="113">
        <f ca="1">E10*'Calcs - Discounted cash flows'!$G9</f>
        <v>0</v>
      </c>
      <c r="F58" s="113">
        <f ca="1">F10*'Calcs - Discounted cash flows'!$G9</f>
        <v>0</v>
      </c>
      <c r="G58" s="113">
        <f ca="1">G10*'Calcs - Discounted cash flows'!$G9</f>
        <v>0</v>
      </c>
    </row>
    <row r="59" spans="1:7" x14ac:dyDescent="0.25">
      <c r="A59" s="316"/>
      <c r="C59" s="344"/>
      <c r="D59" s="89">
        <v>2026</v>
      </c>
      <c r="E59" s="113">
        <f ca="1">E11*'Calcs - Discounted cash flows'!$G10</f>
        <v>0</v>
      </c>
      <c r="F59" s="113">
        <f ca="1">F11*'Calcs - Discounted cash flows'!$G10</f>
        <v>0</v>
      </c>
      <c r="G59" s="113">
        <f ca="1">G11*'Calcs - Discounted cash flows'!$G10</f>
        <v>0</v>
      </c>
    </row>
    <row r="60" spans="1:7" x14ac:dyDescent="0.25">
      <c r="A60" s="316"/>
      <c r="C60" s="344"/>
      <c r="D60" s="89">
        <v>2027</v>
      </c>
      <c r="E60" s="113">
        <f ca="1">E12*'Calcs - Discounted cash flows'!$G11</f>
        <v>0</v>
      </c>
      <c r="F60" s="113">
        <f ca="1">F12*'Calcs - Discounted cash flows'!$G11</f>
        <v>0</v>
      </c>
      <c r="G60" s="113">
        <f ca="1">G12*'Calcs - Discounted cash flows'!$G11</f>
        <v>0</v>
      </c>
    </row>
    <row r="61" spans="1:7" x14ac:dyDescent="0.25">
      <c r="A61" s="316"/>
      <c r="C61" s="344"/>
      <c r="D61" s="89">
        <v>2028</v>
      </c>
      <c r="E61" s="113">
        <f ca="1">E13*'Calcs - Discounted cash flows'!$G12</f>
        <v>0</v>
      </c>
      <c r="F61" s="113">
        <f ca="1">F13*'Calcs - Discounted cash flows'!$G12</f>
        <v>0</v>
      </c>
      <c r="G61" s="113">
        <f ca="1">G13*'Calcs - Discounted cash flows'!$G12</f>
        <v>0</v>
      </c>
    </row>
    <row r="62" spans="1:7" x14ac:dyDescent="0.25">
      <c r="A62" s="316"/>
      <c r="C62" s="344"/>
      <c r="D62" s="89">
        <v>2029</v>
      </c>
      <c r="E62" s="113">
        <f ca="1">E14*'Calcs - Discounted cash flows'!$G13</f>
        <v>0</v>
      </c>
      <c r="F62" s="113">
        <f ca="1">F14*'Calcs - Discounted cash flows'!$G13</f>
        <v>0</v>
      </c>
      <c r="G62" s="113">
        <f ca="1">G14*'Calcs - Discounted cash flows'!$G13</f>
        <v>0</v>
      </c>
    </row>
    <row r="63" spans="1:7" x14ac:dyDescent="0.25">
      <c r="A63" s="316"/>
      <c r="C63" s="344"/>
      <c r="D63" s="89">
        <v>2030</v>
      </c>
      <c r="E63" s="113">
        <f ca="1">E15*'Calcs - Discounted cash flows'!$G14</f>
        <v>0</v>
      </c>
      <c r="F63" s="113">
        <f ca="1">F15*'Calcs - Discounted cash flows'!$G14</f>
        <v>0</v>
      </c>
      <c r="G63" s="113">
        <f ca="1">G15*'Calcs - Discounted cash flows'!$G14</f>
        <v>0</v>
      </c>
    </row>
    <row r="64" spans="1:7" x14ac:dyDescent="0.25">
      <c r="A64" s="316"/>
      <c r="C64" s="344"/>
      <c r="D64" s="89">
        <v>2031</v>
      </c>
      <c r="E64" s="113">
        <f ca="1">E16*'Calcs - Discounted cash flows'!$G15</f>
        <v>68.428649654399962</v>
      </c>
      <c r="F64" s="113">
        <f ca="1">F16*'Calcs - Discounted cash flows'!$G15</f>
        <v>0</v>
      </c>
      <c r="G64" s="113">
        <f ca="1">G16*'Calcs - Discounted cash flows'!$G15</f>
        <v>229.01713229574347</v>
      </c>
    </row>
    <row r="65" spans="1:9" x14ac:dyDescent="0.25">
      <c r="A65" s="316"/>
      <c r="C65" s="344"/>
      <c r="D65" s="89">
        <v>2032</v>
      </c>
      <c r="E65" s="113">
        <f ca="1">E17*'Calcs - Discounted cash flows'!$G16</f>
        <v>76.314443973473445</v>
      </c>
      <c r="F65" s="113">
        <f ca="1">F17*'Calcs - Discounted cash flows'!$G16</f>
        <v>0</v>
      </c>
      <c r="G65" s="113">
        <f ca="1">G17*'Calcs - Discounted cash flows'!$G16</f>
        <v>237.44566667964531</v>
      </c>
    </row>
    <row r="66" spans="1:9" x14ac:dyDescent="0.25">
      <c r="A66" s="316"/>
      <c r="C66" s="344"/>
      <c r="D66" s="89">
        <v>2033</v>
      </c>
      <c r="E66" s="113">
        <f ca="1">E18*'Calcs - Discounted cash flows'!$G17</f>
        <v>85.109006072662481</v>
      </c>
      <c r="F66" s="113">
        <f ca="1">F18*'Calcs - Discounted cash flows'!$G17</f>
        <v>0</v>
      </c>
      <c r="G66" s="113">
        <f ca="1">G18*'Calcs - Discounted cash flows'!$G17</f>
        <v>246.18439703512576</v>
      </c>
    </row>
    <row r="67" spans="1:9" x14ac:dyDescent="0.25">
      <c r="A67" s="316"/>
      <c r="C67" s="344"/>
      <c r="D67" s="89">
        <v>2034</v>
      </c>
      <c r="E67" s="113">
        <f ca="1">E19*'Calcs - Discounted cash flows'!$G18</f>
        <v>94.917063370000051</v>
      </c>
      <c r="F67" s="113">
        <f ca="1">F19*'Calcs - Discounted cash flows'!$G18</f>
        <v>0</v>
      </c>
      <c r="G67" s="113">
        <f ca="1">G19*'Calcs - Discounted cash flows'!$G18</f>
        <v>255.24473952736855</v>
      </c>
    </row>
    <row r="68" spans="1:9" ht="15.75" thickBot="1" x14ac:dyDescent="0.3">
      <c r="A68" s="316"/>
      <c r="C68" s="344"/>
      <c r="D68" s="89">
        <v>2035</v>
      </c>
      <c r="E68" s="291">
        <f ca="1">E20*'Calcs - Discounted cash flows'!$G19</f>
        <v>105.8554121886101</v>
      </c>
      <c r="F68" s="115">
        <f ca="1">F20*'Calcs - Discounted cash flows'!$G19</f>
        <v>0</v>
      </c>
      <c r="G68" s="115">
        <f ca="1">G20*'Calcs - Discounted cash flows'!$G19</f>
        <v>264.63853047152531</v>
      </c>
    </row>
    <row r="69" spans="1:9" ht="16.5" thickTop="1" thickBot="1" x14ac:dyDescent="0.3">
      <c r="A69" s="316"/>
      <c r="C69" s="344"/>
      <c r="D69" s="173" t="s">
        <v>193</v>
      </c>
      <c r="E69" s="113">
        <f ca="1">SUM(E57:E68)</f>
        <v>430.62457525914601</v>
      </c>
      <c r="F69" s="113" t="e">
        <f ca="1">SUM(F57:F68)</f>
        <v>#VALUE!</v>
      </c>
      <c r="G69" s="114">
        <f ca="1">SUM(G57:G68)</f>
        <v>1232.5304660094084</v>
      </c>
      <c r="H69" s="197" t="e">
        <f ca="1">--(SUM(E69:G69)&gt;=SUM(E21:G21))</f>
        <v>#VALUE!</v>
      </c>
      <c r="I69" s="284" t="s">
        <v>244</v>
      </c>
    </row>
    <row r="70" spans="1:9" ht="15.75" thickTop="1" x14ac:dyDescent="0.25">
      <c r="A70" s="316"/>
      <c r="C70" s="344"/>
      <c r="D70" s="169" t="s">
        <v>232</v>
      </c>
      <c r="E70" s="113">
        <f ca="1">E69-OFFSET('Calcs - Discounted cash flows'!$C$26, 15, $D$5+1)</f>
        <v>-49.845789555463398</v>
      </c>
      <c r="F70" s="113" t="e">
        <f ca="1">F69-OFFSET('Calcs - Discounted cash flows'!$C$26, 15, $D$5+2)</f>
        <v>#VALUE!</v>
      </c>
      <c r="G70" s="113">
        <f ca="1">G69-OFFSET('Calcs - Discounted cash flows'!$C$26, 15, $D$5+3)</f>
        <v>-140.72898737551304</v>
      </c>
    </row>
    <row r="71" spans="1:9" x14ac:dyDescent="0.25">
      <c r="A71" s="316"/>
      <c r="C71" s="345"/>
      <c r="D71" s="170" t="s">
        <v>233</v>
      </c>
      <c r="E71" s="54">
        <f ca="1">E70/OFFSET('Calcs - Discounted cash flows'!$C$26, 15, $D$5+1)</f>
        <v>-0.10374373365295175</v>
      </c>
      <c r="F71" s="54" t="e">
        <f ca="1">F70/OFFSET('Calcs - Discounted cash flows'!$C$26, 15, $D$5+2)</f>
        <v>#VALUE!</v>
      </c>
      <c r="G71" s="55">
        <f ca="1">G70/OFFSET('Calcs - Discounted cash flows'!$C$26, 15, $D$5+3)</f>
        <v>-0.10247807654164172</v>
      </c>
    </row>
    <row r="72" spans="1:9" x14ac:dyDescent="0.25">
      <c r="A72" s="316"/>
    </row>
    <row r="73" spans="1:9" ht="30" x14ac:dyDescent="0.25">
      <c r="A73" s="316"/>
      <c r="C73" s="346" t="s">
        <v>146</v>
      </c>
      <c r="D73" s="132" t="s">
        <v>60</v>
      </c>
      <c r="E73" s="71" t="s">
        <v>242</v>
      </c>
      <c r="F73" s="71" t="s">
        <v>192</v>
      </c>
      <c r="G73" s="72" t="s">
        <v>243</v>
      </c>
    </row>
    <row r="74" spans="1:9" x14ac:dyDescent="0.25">
      <c r="A74" s="316"/>
      <c r="C74" s="347"/>
      <c r="D74" s="124">
        <v>2024</v>
      </c>
      <c r="E74" s="111">
        <f ca="1">E24*'Calcs - Discounted cash flows'!$G8</f>
        <v>0</v>
      </c>
      <c r="F74" s="111" t="e">
        <f ca="1">F24*'Calcs - Discounted cash flows'!$G8</f>
        <v>#VALUE!</v>
      </c>
      <c r="G74" s="111">
        <f ca="1">G24*'Calcs - Discounted cash flows'!$G8</f>
        <v>0</v>
      </c>
    </row>
    <row r="75" spans="1:9" x14ac:dyDescent="0.25">
      <c r="A75" s="316"/>
      <c r="C75" s="347"/>
      <c r="D75" s="89">
        <v>2025</v>
      </c>
      <c r="E75" s="292">
        <f ca="1">E25*'Calcs - Discounted cash flows'!$G9</f>
        <v>0</v>
      </c>
      <c r="F75" s="113">
        <f ca="1">F25*'Calcs - Discounted cash flows'!$G9</f>
        <v>0</v>
      </c>
      <c r="G75" s="113">
        <f ca="1">G25*'Calcs - Discounted cash flows'!$G9</f>
        <v>0</v>
      </c>
    </row>
    <row r="76" spans="1:9" x14ac:dyDescent="0.25">
      <c r="A76" s="316"/>
      <c r="C76" s="347"/>
      <c r="D76" s="89">
        <v>2026</v>
      </c>
      <c r="E76" s="292">
        <f ca="1">E26*'Calcs - Discounted cash flows'!$G10</f>
        <v>0</v>
      </c>
      <c r="F76" s="113">
        <f ca="1">F26*'Calcs - Discounted cash flows'!$G10</f>
        <v>0</v>
      </c>
      <c r="G76" s="113">
        <f ca="1">G26*'Calcs - Discounted cash flows'!$G10</f>
        <v>0</v>
      </c>
    </row>
    <row r="77" spans="1:9" x14ac:dyDescent="0.25">
      <c r="A77" s="316"/>
      <c r="C77" s="347"/>
      <c r="D77" s="89">
        <v>2027</v>
      </c>
      <c r="E77" s="292">
        <f ca="1">E27*'Calcs - Discounted cash flows'!$G11</f>
        <v>0</v>
      </c>
      <c r="F77" s="113">
        <f ca="1">F27*'Calcs - Discounted cash flows'!$G11</f>
        <v>0</v>
      </c>
      <c r="G77" s="113">
        <f ca="1">G27*'Calcs - Discounted cash flows'!$G11</f>
        <v>0</v>
      </c>
    </row>
    <row r="78" spans="1:9" x14ac:dyDescent="0.25">
      <c r="A78" s="316"/>
      <c r="C78" s="347"/>
      <c r="D78" s="89">
        <v>2028</v>
      </c>
      <c r="E78" s="292">
        <f ca="1">E28*'Calcs - Discounted cash flows'!$G12</f>
        <v>0</v>
      </c>
      <c r="F78" s="113">
        <f ca="1">F28*'Calcs - Discounted cash flows'!$G12</f>
        <v>0</v>
      </c>
      <c r="G78" s="113">
        <f ca="1">G28*'Calcs - Discounted cash flows'!$G12</f>
        <v>0</v>
      </c>
    </row>
    <row r="79" spans="1:9" x14ac:dyDescent="0.25">
      <c r="A79" s="316"/>
      <c r="C79" s="347"/>
      <c r="D79" s="89">
        <v>2029</v>
      </c>
      <c r="E79" s="292">
        <f ca="1">E29*'Calcs - Discounted cash flows'!$G13</f>
        <v>0</v>
      </c>
      <c r="F79" s="113">
        <f ca="1">F29*'Calcs - Discounted cash flows'!$G13</f>
        <v>0</v>
      </c>
      <c r="G79" s="113">
        <f ca="1">G29*'Calcs - Discounted cash flows'!$G13</f>
        <v>0</v>
      </c>
    </row>
    <row r="80" spans="1:9" x14ac:dyDescent="0.25">
      <c r="A80" s="316"/>
      <c r="C80" s="347"/>
      <c r="D80" s="89">
        <v>2030</v>
      </c>
      <c r="E80" s="292">
        <f ca="1">E30*'Calcs - Discounted cash flows'!$G14</f>
        <v>0</v>
      </c>
      <c r="F80" s="113">
        <f ca="1">F30*'Calcs - Discounted cash flows'!$G14</f>
        <v>0</v>
      </c>
      <c r="G80" s="113">
        <f ca="1">G30*'Calcs - Discounted cash flows'!$G14</f>
        <v>0</v>
      </c>
    </row>
    <row r="81" spans="1:8" x14ac:dyDescent="0.25">
      <c r="A81" s="316"/>
      <c r="C81" s="347"/>
      <c r="D81" s="89">
        <v>2031</v>
      </c>
      <c r="E81" s="292">
        <f ca="1">E31*'Calcs - Discounted cash flows'!$G15</f>
        <v>68.428649654399962</v>
      </c>
      <c r="F81" s="113">
        <f ca="1">F31*'Calcs - Discounted cash flows'!$G15</f>
        <v>0</v>
      </c>
      <c r="G81" s="113">
        <f ca="1">G31*'Calcs - Discounted cash flows'!$G15</f>
        <v>229.01713229574347</v>
      </c>
    </row>
    <row r="82" spans="1:8" x14ac:dyDescent="0.25">
      <c r="A82" s="316"/>
      <c r="C82" s="347"/>
      <c r="D82" s="89">
        <v>2032</v>
      </c>
      <c r="E82" s="292">
        <f ca="1">E32*'Calcs - Discounted cash flows'!$G16</f>
        <v>76.314443973473445</v>
      </c>
      <c r="F82" s="113">
        <f ca="1">F32*'Calcs - Discounted cash flows'!$G16</f>
        <v>0</v>
      </c>
      <c r="G82" s="113">
        <f ca="1">G32*'Calcs - Discounted cash flows'!$G16</f>
        <v>237.44566667964531</v>
      </c>
    </row>
    <row r="83" spans="1:8" x14ac:dyDescent="0.25">
      <c r="A83" s="316"/>
      <c r="C83" s="347"/>
      <c r="D83" s="89">
        <v>2033</v>
      </c>
      <c r="E83" s="292">
        <f ca="1">E33*'Calcs - Discounted cash flows'!$G17</f>
        <v>85.109006072662481</v>
      </c>
      <c r="F83" s="113">
        <f ca="1">F33*'Calcs - Discounted cash flows'!$G17</f>
        <v>0</v>
      </c>
      <c r="G83" s="113">
        <f ca="1">G33*'Calcs - Discounted cash flows'!$G17</f>
        <v>246.18439703512576</v>
      </c>
    </row>
    <row r="84" spans="1:8" x14ac:dyDescent="0.25">
      <c r="A84" s="316"/>
      <c r="C84" s="347"/>
      <c r="D84" s="89">
        <v>2034</v>
      </c>
      <c r="E84" s="292">
        <f ca="1">E34*'Calcs - Discounted cash flows'!$G18</f>
        <v>94.917063370000051</v>
      </c>
      <c r="F84" s="113">
        <f ca="1">F34*'Calcs - Discounted cash flows'!$G18</f>
        <v>0</v>
      </c>
      <c r="G84" s="113">
        <f ca="1">G34*'Calcs - Discounted cash flows'!$G18</f>
        <v>255.24473952736855</v>
      </c>
    </row>
    <row r="85" spans="1:8" ht="15.75" thickBot="1" x14ac:dyDescent="0.3">
      <c r="A85" s="316"/>
      <c r="C85" s="347"/>
      <c r="D85" s="89">
        <v>2035</v>
      </c>
      <c r="E85" s="291">
        <f ca="1">E35*'Calcs - Discounted cash flows'!$G19</f>
        <v>105.8554121886101</v>
      </c>
      <c r="F85" s="115">
        <f ca="1">F35*'Calcs - Discounted cash flows'!$G19</f>
        <v>0</v>
      </c>
      <c r="G85" s="115">
        <f ca="1">G35*'Calcs - Discounted cash flows'!$G19</f>
        <v>264.63853047152531</v>
      </c>
    </row>
    <row r="86" spans="1:8" ht="16.5" thickTop="1" thickBot="1" x14ac:dyDescent="0.3">
      <c r="A86" s="316"/>
      <c r="C86" s="347"/>
      <c r="D86" s="173" t="s">
        <v>193</v>
      </c>
      <c r="E86" s="113">
        <f ca="1">SUM(E74:E85)</f>
        <v>430.62457525914601</v>
      </c>
      <c r="F86" s="113" t="e">
        <f ca="1">SUM(F74:F85)</f>
        <v>#VALUE!</v>
      </c>
      <c r="G86" s="114">
        <f ca="1">SUM(G74:G85)</f>
        <v>1232.5304660094084</v>
      </c>
      <c r="H86" s="197" t="e">
        <f ca="1">--(SUM(E86:G86)&gt;=SUM(E36:G36))</f>
        <v>#VALUE!</v>
      </c>
    </row>
    <row r="87" spans="1:8" ht="15.75" thickTop="1" x14ac:dyDescent="0.25">
      <c r="A87" s="316"/>
      <c r="C87" s="347"/>
      <c r="D87" s="169" t="s">
        <v>232</v>
      </c>
      <c r="E87" s="113">
        <f ca="1">E86-OFFSET('Calcs - Discounted cash flows'!$C$26, 30, $D$5+1)</f>
        <v>-49.845789555463398</v>
      </c>
      <c r="F87" s="113" t="e">
        <f ca="1">F86-OFFSET('Calcs - Discounted cash flows'!$C$26, 30, $D$5+2)</f>
        <v>#VALUE!</v>
      </c>
      <c r="G87" s="113">
        <f ca="1">G86-OFFSET('Calcs - Discounted cash flows'!$C$26, 30, $D$5+3)</f>
        <v>-140.72898737551304</v>
      </c>
    </row>
    <row r="88" spans="1:8" x14ac:dyDescent="0.25">
      <c r="A88" s="316"/>
      <c r="C88" s="348"/>
      <c r="D88" s="170" t="s">
        <v>233</v>
      </c>
      <c r="E88" s="54">
        <f ca="1">E87/OFFSET('Calcs - Discounted cash flows'!$C$26, 30, $D$5+1)</f>
        <v>-0.10374373365295175</v>
      </c>
      <c r="F88" s="54" t="e">
        <f ca="1">F87/OFFSET('Calcs - Discounted cash flows'!$C$26, 30, $D$5+2)</f>
        <v>#VALUE!</v>
      </c>
      <c r="G88" s="55">
        <f ca="1">G87/OFFSET('Calcs - Discounted cash flows'!$C$26,30, $D$5+3)</f>
        <v>-0.10247807654164172</v>
      </c>
    </row>
    <row r="89" spans="1:8" x14ac:dyDescent="0.25">
      <c r="A89" s="316"/>
    </row>
    <row r="90" spans="1:8" ht="30" x14ac:dyDescent="0.25">
      <c r="A90" s="316"/>
      <c r="C90" s="349" t="s">
        <v>63</v>
      </c>
      <c r="D90" s="132" t="s">
        <v>60</v>
      </c>
      <c r="E90" s="71" t="s">
        <v>242</v>
      </c>
      <c r="F90" s="71" t="s">
        <v>192</v>
      </c>
      <c r="G90" s="72" t="s">
        <v>243</v>
      </c>
    </row>
    <row r="91" spans="1:8" x14ac:dyDescent="0.25">
      <c r="A91" s="316"/>
      <c r="C91" s="350"/>
      <c r="D91" s="124">
        <v>2024</v>
      </c>
      <c r="E91" s="111">
        <f ca="1">E39*'Calcs - Discounted cash flows'!$G8</f>
        <v>0</v>
      </c>
      <c r="F91" s="111" t="e">
        <f ca="1">F39*'Calcs - Discounted cash flows'!$G8</f>
        <v>#VALUE!</v>
      </c>
      <c r="G91" s="111">
        <f ca="1">G39*'Calcs - Discounted cash flows'!$G8</f>
        <v>0</v>
      </c>
    </row>
    <row r="92" spans="1:8" x14ac:dyDescent="0.25">
      <c r="A92" s="316"/>
      <c r="C92" s="350"/>
      <c r="D92" s="89">
        <v>2025</v>
      </c>
      <c r="E92" s="292">
        <f ca="1">E40*'Calcs - Discounted cash flows'!$G9</f>
        <v>0</v>
      </c>
      <c r="F92" s="113">
        <f ca="1">F40*'Calcs - Discounted cash flows'!$G9</f>
        <v>0</v>
      </c>
      <c r="G92" s="113">
        <f ca="1">G40*'Calcs - Discounted cash flows'!$G9</f>
        <v>0</v>
      </c>
    </row>
    <row r="93" spans="1:8" x14ac:dyDescent="0.25">
      <c r="A93" s="316"/>
      <c r="C93" s="350"/>
      <c r="D93" s="89">
        <v>2026</v>
      </c>
      <c r="E93" s="292">
        <f ca="1">E41*'Calcs - Discounted cash flows'!$G10</f>
        <v>0</v>
      </c>
      <c r="F93" s="113">
        <f ca="1">F41*'Calcs - Discounted cash flows'!$G10</f>
        <v>0</v>
      </c>
      <c r="G93" s="113">
        <f ca="1">G41*'Calcs - Discounted cash flows'!$G10</f>
        <v>0</v>
      </c>
    </row>
    <row r="94" spans="1:8" x14ac:dyDescent="0.25">
      <c r="A94" s="316"/>
      <c r="C94" s="350"/>
      <c r="D94" s="89">
        <v>2027</v>
      </c>
      <c r="E94" s="292">
        <f ca="1">E42*'Calcs - Discounted cash flows'!$G11</f>
        <v>0</v>
      </c>
      <c r="F94" s="113">
        <f ca="1">F42*'Calcs - Discounted cash flows'!$G11</f>
        <v>0</v>
      </c>
      <c r="G94" s="113">
        <f ca="1">G42*'Calcs - Discounted cash flows'!$G11</f>
        <v>0</v>
      </c>
    </row>
    <row r="95" spans="1:8" x14ac:dyDescent="0.25">
      <c r="A95" s="316"/>
      <c r="C95" s="350"/>
      <c r="D95" s="89">
        <v>2028</v>
      </c>
      <c r="E95" s="292">
        <f ca="1">E43*'Calcs - Discounted cash flows'!$G12</f>
        <v>0</v>
      </c>
      <c r="F95" s="113">
        <f ca="1">F43*'Calcs - Discounted cash flows'!$G12</f>
        <v>0</v>
      </c>
      <c r="G95" s="113">
        <f ca="1">G43*'Calcs - Discounted cash flows'!$G12</f>
        <v>0</v>
      </c>
    </row>
    <row r="96" spans="1:8" x14ac:dyDescent="0.25">
      <c r="A96" s="316"/>
      <c r="C96" s="350"/>
      <c r="D96" s="89">
        <v>2029</v>
      </c>
      <c r="E96" s="292">
        <f ca="1">E44*'Calcs - Discounted cash flows'!$G13</f>
        <v>0</v>
      </c>
      <c r="F96" s="113">
        <f ca="1">F44*'Calcs - Discounted cash flows'!$G13</f>
        <v>0</v>
      </c>
      <c r="G96" s="113">
        <f ca="1">G44*'Calcs - Discounted cash flows'!$G13</f>
        <v>0</v>
      </c>
    </row>
    <row r="97" spans="1:8" x14ac:dyDescent="0.25">
      <c r="A97" s="316"/>
      <c r="C97" s="350"/>
      <c r="D97" s="89">
        <v>2030</v>
      </c>
      <c r="E97" s="292">
        <f ca="1">E45*'Calcs - Discounted cash flows'!$G14</f>
        <v>0</v>
      </c>
      <c r="F97" s="113">
        <f ca="1">F45*'Calcs - Discounted cash flows'!$G14</f>
        <v>0</v>
      </c>
      <c r="G97" s="113">
        <f ca="1">G45*'Calcs - Discounted cash flows'!$G14</f>
        <v>0</v>
      </c>
    </row>
    <row r="98" spans="1:8" x14ac:dyDescent="0.25">
      <c r="A98" s="316"/>
      <c r="C98" s="350"/>
      <c r="D98" s="89">
        <v>2031</v>
      </c>
      <c r="E98" s="292">
        <f ca="1">E46*'Calcs - Discounted cash flows'!$G15</f>
        <v>68.428649654399962</v>
      </c>
      <c r="F98" s="113">
        <f ca="1">F46*'Calcs - Discounted cash flows'!$G15</f>
        <v>0</v>
      </c>
      <c r="G98" s="113">
        <f ca="1">G46*'Calcs - Discounted cash flows'!$G15</f>
        <v>229.01713229574347</v>
      </c>
    </row>
    <row r="99" spans="1:8" x14ac:dyDescent="0.25">
      <c r="A99" s="316"/>
      <c r="C99" s="350"/>
      <c r="D99" s="89">
        <v>2032</v>
      </c>
      <c r="E99" s="292">
        <f ca="1">E47*'Calcs - Discounted cash flows'!$G16</f>
        <v>76.314443973473445</v>
      </c>
      <c r="F99" s="113">
        <f ca="1">F47*'Calcs - Discounted cash flows'!$G16</f>
        <v>0</v>
      </c>
      <c r="G99" s="113">
        <f ca="1">G47*'Calcs - Discounted cash flows'!$G16</f>
        <v>237.44566667964531</v>
      </c>
    </row>
    <row r="100" spans="1:8" x14ac:dyDescent="0.25">
      <c r="A100" s="316"/>
      <c r="C100" s="350"/>
      <c r="D100" s="89">
        <v>2033</v>
      </c>
      <c r="E100" s="292">
        <f ca="1">E48*'Calcs - Discounted cash flows'!$G17</f>
        <v>85.109006072662481</v>
      </c>
      <c r="F100" s="113">
        <f ca="1">F48*'Calcs - Discounted cash flows'!$G17</f>
        <v>0</v>
      </c>
      <c r="G100" s="113">
        <f ca="1">G48*'Calcs - Discounted cash flows'!$G17</f>
        <v>246.18439703512576</v>
      </c>
    </row>
    <row r="101" spans="1:8" x14ac:dyDescent="0.25">
      <c r="A101" s="316"/>
      <c r="C101" s="350"/>
      <c r="D101" s="89">
        <v>2034</v>
      </c>
      <c r="E101" s="292">
        <f ca="1">E49*'Calcs - Discounted cash flows'!$G18</f>
        <v>94.917063370000051</v>
      </c>
      <c r="F101" s="113">
        <f ca="1">F49*'Calcs - Discounted cash flows'!$G18</f>
        <v>0</v>
      </c>
      <c r="G101" s="113">
        <f ca="1">G49*'Calcs - Discounted cash flows'!$G18</f>
        <v>255.24473952736855</v>
      </c>
    </row>
    <row r="102" spans="1:8" ht="15.75" thickBot="1" x14ac:dyDescent="0.3">
      <c r="A102" s="316"/>
      <c r="C102" s="350"/>
      <c r="D102" s="89">
        <v>2035</v>
      </c>
      <c r="E102" s="291">
        <f ca="1">E50*'Calcs - Discounted cash flows'!$G19</f>
        <v>105.8554121886101</v>
      </c>
      <c r="F102" s="115">
        <f ca="1">F50*'Calcs - Discounted cash flows'!$G19</f>
        <v>0</v>
      </c>
      <c r="G102" s="115">
        <f ca="1">G50*'Calcs - Discounted cash flows'!$G19</f>
        <v>264.63853047152531</v>
      </c>
    </row>
    <row r="103" spans="1:8" ht="16.5" thickTop="1" thickBot="1" x14ac:dyDescent="0.3">
      <c r="A103" s="316"/>
      <c r="C103" s="350"/>
      <c r="D103" s="173" t="s">
        <v>193</v>
      </c>
      <c r="E103" s="113">
        <f ca="1">SUM(E91:E102)</f>
        <v>430.62457525914601</v>
      </c>
      <c r="F103" s="113" t="e">
        <f ca="1">SUM(F91:F102)</f>
        <v>#VALUE!</v>
      </c>
      <c r="G103" s="114">
        <f ca="1">SUM(G91:G102)</f>
        <v>1232.5304660094084</v>
      </c>
      <c r="H103" s="197" t="e">
        <f ca="1">--(SUM(E103:G103)&gt;=SUM(E51:G51))</f>
        <v>#VALUE!</v>
      </c>
    </row>
    <row r="104" spans="1:8" ht="15.75" thickTop="1" x14ac:dyDescent="0.25">
      <c r="A104" s="316"/>
      <c r="C104" s="350"/>
      <c r="D104" s="169" t="s">
        <v>232</v>
      </c>
      <c r="E104" s="113">
        <f ca="1">E103-OFFSET('Calcs - Discounted cash flows'!$C$26, 45, $D$5+1)</f>
        <v>-49.845789555463398</v>
      </c>
      <c r="F104" s="113" t="e">
        <f ca="1">F103-OFFSET('Calcs - Discounted cash flows'!$C$26, 45, $D$5+2)</f>
        <v>#VALUE!</v>
      </c>
      <c r="G104" s="113">
        <f ca="1">G103-OFFSET('Calcs - Discounted cash flows'!$C$26, 45, $D$5+3)</f>
        <v>-140.72898737551304</v>
      </c>
    </row>
    <row r="105" spans="1:8" x14ac:dyDescent="0.25">
      <c r="A105" s="317"/>
      <c r="C105" s="351"/>
      <c r="D105" s="170" t="s">
        <v>233</v>
      </c>
      <c r="E105" s="54">
        <f ca="1">E104/OFFSET('Calcs - Discounted cash flows'!$C$26, 45, $D$5+1)</f>
        <v>-0.10374373365295175</v>
      </c>
      <c r="F105" s="54" t="e">
        <f ca="1">F104/OFFSET('Calcs - Discounted cash flows'!$C$26, 45, $D$5+2)</f>
        <v>#VALUE!</v>
      </c>
      <c r="G105" s="55">
        <f ca="1">G104/OFFSET('Calcs - Discounted cash flows'!$C$26, 45, $D$5+3)</f>
        <v>-0.10247807654164172</v>
      </c>
    </row>
    <row r="107" spans="1:8" x14ac:dyDescent="0.25">
      <c r="A107" s="61" t="s">
        <v>48</v>
      </c>
    </row>
    <row r="108" spans="1:8" ht="120" customHeight="1" x14ac:dyDescent="0.25">
      <c r="A108" s="315" t="s">
        <v>245</v>
      </c>
      <c r="D108" s="28" t="s">
        <v>246</v>
      </c>
      <c r="E108" s="28" t="s">
        <v>247</v>
      </c>
    </row>
    <row r="109" spans="1:8" ht="135" customHeight="1" x14ac:dyDescent="0.25">
      <c r="A109" s="317"/>
      <c r="D109" s="174" t="e">
        <f ca="1">AVERAGE(E70,E87,F70,F87,G70,G87,E104,F104,G104)</f>
        <v>#VALUE!</v>
      </c>
      <c r="E109" s="175" t="e">
        <f ca="1">AVERAGE(E71,E88,F71,F88,G71,G88,E105,F105,G105)</f>
        <v>#VALUE!</v>
      </c>
    </row>
  </sheetData>
  <mergeCells count="7">
    <mergeCell ref="E4:E5"/>
    <mergeCell ref="A9:A17"/>
    <mergeCell ref="A56:A105"/>
    <mergeCell ref="A108:A109"/>
    <mergeCell ref="C90:C105"/>
    <mergeCell ref="C56:C71"/>
    <mergeCell ref="C73:C88"/>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disablePrompts="1" count="1">
        <x14:dataValidation type="list" showInputMessage="1" showErrorMessage="1" xr:uid="{C75D7767-0537-46B6-A391-3E1880BDD05D}">
          <x14:formula1>
            <xm:f>Inputs!$D$38:$H$38</xm:f>
          </x14:formula1>
          <xm:sqref>D4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F82D6-2525-4D41-BE8E-2FC0B58CDAEB}">
  <sheetPr>
    <tabColor rgb="FF9954CC"/>
  </sheetPr>
  <dimension ref="A1:I109"/>
  <sheetViews>
    <sheetView topLeftCell="A56" zoomScaleNormal="100" workbookViewId="0">
      <selection activeCell="D82" sqref="D82"/>
    </sheetView>
  </sheetViews>
  <sheetFormatPr defaultRowHeight="15" x14ac:dyDescent="0.25"/>
  <cols>
    <col min="1" max="1" width="30.5703125" customWidth="1"/>
    <col min="2" max="2" width="4.5703125" customWidth="1"/>
    <col min="3" max="3" width="30.5703125" customWidth="1"/>
    <col min="4" max="4" width="30.5703125" style="15" customWidth="1"/>
    <col min="5" max="7" width="30.5703125" style="3" customWidth="1"/>
  </cols>
  <sheetData>
    <row r="1" spans="1:7" ht="16.5" thickTop="1" thickBot="1" x14ac:dyDescent="0.3">
      <c r="C1" t="s">
        <v>45</v>
      </c>
      <c r="D1" t="s">
        <v>56</v>
      </c>
      <c r="E1" s="197" t="e">
        <f ca="1">Checks!$D$17</f>
        <v>#VALUE!</v>
      </c>
      <c r="F1" t="s">
        <v>57</v>
      </c>
      <c r="G1" s="197" t="e">
        <f ca="1">SUM(E6, H69:H105)</f>
        <v>#VALUE!</v>
      </c>
    </row>
    <row r="2" spans="1:7" ht="18" thickTop="1" x14ac:dyDescent="0.3">
      <c r="C2" s="8" t="s">
        <v>248</v>
      </c>
      <c r="F2" s="25"/>
      <c r="G2" s="25"/>
    </row>
    <row r="3" spans="1:7" ht="17.25" x14ac:dyDescent="0.3">
      <c r="C3" s="8"/>
      <c r="F3" s="25"/>
      <c r="G3" s="25"/>
    </row>
    <row r="4" spans="1:7" ht="17.25" x14ac:dyDescent="0.3">
      <c r="C4" s="8" t="s">
        <v>221</v>
      </c>
      <c r="D4" s="262">
        <v>55</v>
      </c>
      <c r="E4" s="371" t="s">
        <v>222</v>
      </c>
      <c r="F4" s="25"/>
      <c r="G4" s="25"/>
    </row>
    <row r="5" spans="1:7" ht="15.75" thickBot="1" x14ac:dyDescent="0.3">
      <c r="C5" t="s">
        <v>238</v>
      </c>
      <c r="D5" s="283">
        <f>MATCH(D4, 'Calcs - Price x Vol'!D4:AF4)</f>
        <v>8</v>
      </c>
      <c r="E5" s="371"/>
      <c r="F5" s="25"/>
      <c r="G5" s="25"/>
    </row>
    <row r="6" spans="1:7" ht="16.5" thickTop="1" thickBot="1" x14ac:dyDescent="0.3">
      <c r="D6"/>
      <c r="E6" s="197">
        <f ca="1">--(NOT(OFFSET('Calcs - Price x Vol'!$C$4, 32, D5-1) = C90))</f>
        <v>0</v>
      </c>
      <c r="F6" s="284" t="s">
        <v>239</v>
      </c>
      <c r="G6"/>
    </row>
    <row r="7" spans="1:7" ht="18" thickTop="1" x14ac:dyDescent="0.3">
      <c r="C7" s="8"/>
      <c r="F7" s="25"/>
      <c r="G7" s="25"/>
    </row>
    <row r="8" spans="1:7" ht="30" x14ac:dyDescent="0.25">
      <c r="A8" s="61" t="s">
        <v>48</v>
      </c>
      <c r="C8" s="255" t="str" cm="1">
        <f t="array" aca="1" ref="C8:G51" ca="1">OFFSET('Calcs - Price x Vol'!$C$4, 2, $D$5-1, 44, 5)</f>
        <v>With-existing measures (WEM) - Baseline</v>
      </c>
      <c r="D8" s="132" t="str">
        <f ca="1"/>
        <v>Year</v>
      </c>
      <c r="E8" s="183" t="str">
        <f ca="1"/>
        <v>IEA - Emerging and developed economies</v>
      </c>
      <c r="F8" s="183" t="str">
        <f ca="1"/>
        <v>Average of current market prices</v>
      </c>
      <c r="G8" s="247" t="str">
        <f ca="1"/>
        <v>IEA - Selected EMDE with net zero targets scenario</v>
      </c>
    </row>
    <row r="9" spans="1:7" ht="15" customHeight="1" x14ac:dyDescent="0.25">
      <c r="A9" s="318" t="s">
        <v>240</v>
      </c>
      <c r="C9" s="285">
        <f ca="1"/>
        <v>0</v>
      </c>
      <c r="D9" s="42">
        <f ca="1"/>
        <v>2024</v>
      </c>
      <c r="E9" s="248">
        <f ca="1"/>
        <v>0</v>
      </c>
      <c r="F9" s="96" t="e">
        <f ca="1"/>
        <v>#VALUE!</v>
      </c>
      <c r="G9" s="97">
        <f ca="1"/>
        <v>0</v>
      </c>
    </row>
    <row r="10" spans="1:7" x14ac:dyDescent="0.25">
      <c r="A10" s="314"/>
      <c r="C10" s="285">
        <f ca="1"/>
        <v>0</v>
      </c>
      <c r="D10" s="43">
        <f ca="1"/>
        <v>2025</v>
      </c>
      <c r="E10" s="249">
        <f ca="1"/>
        <v>0</v>
      </c>
      <c r="F10" s="98">
        <f ca="1"/>
        <v>0</v>
      </c>
      <c r="G10" s="99">
        <f ca="1"/>
        <v>0</v>
      </c>
    </row>
    <row r="11" spans="1:7" x14ac:dyDescent="0.25">
      <c r="A11" s="314"/>
      <c r="C11" s="285">
        <f ca="1"/>
        <v>0</v>
      </c>
      <c r="D11" s="43">
        <f ca="1"/>
        <v>2026</v>
      </c>
      <c r="E11" s="249">
        <f ca="1"/>
        <v>0</v>
      </c>
      <c r="F11" s="98">
        <f ca="1"/>
        <v>0</v>
      </c>
      <c r="G11" s="99">
        <f ca="1"/>
        <v>0</v>
      </c>
    </row>
    <row r="12" spans="1:7" x14ac:dyDescent="0.25">
      <c r="A12" s="314"/>
      <c r="C12" s="285">
        <f ca="1"/>
        <v>0</v>
      </c>
      <c r="D12" s="43">
        <f ca="1"/>
        <v>2027</v>
      </c>
      <c r="E12" s="249">
        <f ca="1"/>
        <v>0</v>
      </c>
      <c r="F12" s="98">
        <f ca="1"/>
        <v>0</v>
      </c>
      <c r="G12" s="99">
        <f ca="1"/>
        <v>0</v>
      </c>
    </row>
    <row r="13" spans="1:7" x14ac:dyDescent="0.25">
      <c r="A13" s="314"/>
      <c r="C13" s="285">
        <f ca="1"/>
        <v>0</v>
      </c>
      <c r="D13" s="43">
        <f ca="1"/>
        <v>2028</v>
      </c>
      <c r="E13" s="249">
        <f ca="1"/>
        <v>0</v>
      </c>
      <c r="F13" s="98">
        <f ca="1"/>
        <v>0</v>
      </c>
      <c r="G13" s="99">
        <f ca="1"/>
        <v>0</v>
      </c>
    </row>
    <row r="14" spans="1:7" x14ac:dyDescent="0.25">
      <c r="A14" s="314"/>
      <c r="C14" s="285">
        <f ca="1"/>
        <v>0</v>
      </c>
      <c r="D14" s="43">
        <f ca="1"/>
        <v>2029</v>
      </c>
      <c r="E14" s="249">
        <f ca="1"/>
        <v>0</v>
      </c>
      <c r="F14" s="98">
        <f ca="1"/>
        <v>0</v>
      </c>
      <c r="G14" s="99">
        <f ca="1"/>
        <v>0</v>
      </c>
    </row>
    <row r="15" spans="1:7" x14ac:dyDescent="0.25">
      <c r="A15" s="314"/>
      <c r="C15" s="285">
        <f ca="1"/>
        <v>0</v>
      </c>
      <c r="D15" s="43">
        <f ca="1"/>
        <v>2030</v>
      </c>
      <c r="E15" s="249">
        <f ca="1"/>
        <v>0</v>
      </c>
      <c r="F15" s="98">
        <f ca="1"/>
        <v>0</v>
      </c>
      <c r="G15" s="99">
        <f ca="1"/>
        <v>0</v>
      </c>
    </row>
    <row r="16" spans="1:7" x14ac:dyDescent="0.25">
      <c r="A16" s="314"/>
      <c r="C16" s="285">
        <f ca="1"/>
        <v>0</v>
      </c>
      <c r="D16" s="43">
        <f ca="1"/>
        <v>2031</v>
      </c>
      <c r="E16" s="249">
        <f ca="1"/>
        <v>89.283867074707388</v>
      </c>
      <c r="F16" s="98">
        <f ca="1"/>
        <v>0</v>
      </c>
      <c r="G16" s="99">
        <f ca="1"/>
        <v>298.81541285696056</v>
      </c>
    </row>
    <row r="17" spans="1:7" x14ac:dyDescent="0.25">
      <c r="A17" s="314"/>
      <c r="C17" s="285">
        <f ca="1"/>
        <v>0</v>
      </c>
      <c r="D17" s="43">
        <f ca="1"/>
        <v>2032</v>
      </c>
      <c r="E17" s="249">
        <f ca="1"/>
        <v>102.56023123649031</v>
      </c>
      <c r="F17" s="98">
        <f ca="1"/>
        <v>0</v>
      </c>
      <c r="G17" s="99">
        <f ca="1"/>
        <v>319.10712065506021</v>
      </c>
    </row>
    <row r="18" spans="1:7" x14ac:dyDescent="0.25">
      <c r="C18" s="285">
        <f ca="1"/>
        <v>0</v>
      </c>
      <c r="D18" s="43">
        <f ca="1"/>
        <v>2033</v>
      </c>
      <c r="E18" s="249">
        <f ca="1"/>
        <v>117.81076890947195</v>
      </c>
      <c r="F18" s="98">
        <f ca="1"/>
        <v>0</v>
      </c>
      <c r="G18" s="99">
        <f ca="1"/>
        <v>340.77678081989592</v>
      </c>
    </row>
    <row r="19" spans="1:7" x14ac:dyDescent="0.25">
      <c r="C19" s="285">
        <f ca="1"/>
        <v>0</v>
      </c>
      <c r="D19" s="43">
        <f ca="1"/>
        <v>2034</v>
      </c>
      <c r="E19" s="249">
        <f ca="1"/>
        <v>135.32903644724627</v>
      </c>
      <c r="F19" s="98">
        <f ca="1"/>
        <v>0</v>
      </c>
      <c r="G19" s="99">
        <f ca="1"/>
        <v>363.91796619136301</v>
      </c>
    </row>
    <row r="20" spans="1:7" x14ac:dyDescent="0.25">
      <c r="C20" s="285">
        <f ca="1"/>
        <v>0</v>
      </c>
      <c r="D20" s="43">
        <f ca="1"/>
        <v>2035</v>
      </c>
      <c r="E20" s="250">
        <f ca="1"/>
        <v>155.45224155028561</v>
      </c>
      <c r="F20" s="100">
        <f ca="1"/>
        <v>0</v>
      </c>
      <c r="G20" s="101">
        <f ca="1"/>
        <v>388.63060387571409</v>
      </c>
    </row>
    <row r="21" spans="1:7" x14ac:dyDescent="0.25">
      <c r="C21" s="286">
        <f ca="1"/>
        <v>0</v>
      </c>
      <c r="D21" s="18" t="str">
        <f ca="1"/>
        <v>Total</v>
      </c>
      <c r="E21" s="108">
        <f ca="1"/>
        <v>600.43614521820155</v>
      </c>
      <c r="F21" s="108" t="e">
        <f ca="1"/>
        <v>#VALUE!</v>
      </c>
      <c r="G21" s="109">
        <f ca="1"/>
        <v>1711.2478843989936</v>
      </c>
    </row>
    <row r="22" spans="1:7" x14ac:dyDescent="0.25">
      <c r="C22">
        <f ca="1"/>
        <v>0</v>
      </c>
      <c r="D22" s="15">
        <f ca="1"/>
        <v>0</v>
      </c>
      <c r="E22" s="15">
        <f ca="1"/>
        <v>0</v>
      </c>
      <c r="F22" s="15">
        <f ca="1"/>
        <v>0</v>
      </c>
      <c r="G22" s="15">
        <f ca="1"/>
        <v>0</v>
      </c>
    </row>
    <row r="23" spans="1:7" ht="30" x14ac:dyDescent="0.25">
      <c r="C23" s="256" t="str">
        <f ca="1"/>
        <v>Emissions path consistent with domestic budgets (MT CO2e)</v>
      </c>
      <c r="D23" s="132" t="str">
        <f ca="1"/>
        <v>Year</v>
      </c>
      <c r="E23" s="183" t="str">
        <f ca="1"/>
        <v>IEA - Emerging and developed economies</v>
      </c>
      <c r="F23" s="183" t="str">
        <f ca="1"/>
        <v>Average of current market prices</v>
      </c>
      <c r="G23" s="247" t="str">
        <f ca="1"/>
        <v>IEA - Selected EMDE with net zero targets scenario</v>
      </c>
    </row>
    <row r="24" spans="1:7" x14ac:dyDescent="0.25">
      <c r="C24" s="287">
        <f ca="1"/>
        <v>0</v>
      </c>
      <c r="D24" s="42">
        <f ca="1"/>
        <v>2024</v>
      </c>
      <c r="E24" s="248">
        <f ca="1"/>
        <v>0</v>
      </c>
      <c r="F24" s="96" t="e">
        <f ca="1"/>
        <v>#VALUE!</v>
      </c>
      <c r="G24" s="97">
        <f ca="1"/>
        <v>0</v>
      </c>
    </row>
    <row r="25" spans="1:7" x14ac:dyDescent="0.25">
      <c r="C25" s="287">
        <f ca="1"/>
        <v>0</v>
      </c>
      <c r="D25" s="43">
        <f ca="1"/>
        <v>2025</v>
      </c>
      <c r="E25" s="249">
        <f ca="1"/>
        <v>0</v>
      </c>
      <c r="F25" s="98">
        <f ca="1"/>
        <v>0</v>
      </c>
      <c r="G25" s="99">
        <f ca="1"/>
        <v>0</v>
      </c>
    </row>
    <row r="26" spans="1:7" x14ac:dyDescent="0.25">
      <c r="C26" s="287">
        <f ca="1"/>
        <v>0</v>
      </c>
      <c r="D26" s="43">
        <f ca="1"/>
        <v>2026</v>
      </c>
      <c r="E26" s="249">
        <f ca="1"/>
        <v>0</v>
      </c>
      <c r="F26" s="98">
        <f ca="1"/>
        <v>0</v>
      </c>
      <c r="G26" s="99">
        <f ca="1"/>
        <v>0</v>
      </c>
    </row>
    <row r="27" spans="1:7" x14ac:dyDescent="0.25">
      <c r="C27" s="287">
        <f ca="1"/>
        <v>0</v>
      </c>
      <c r="D27" s="43">
        <f ca="1"/>
        <v>2027</v>
      </c>
      <c r="E27" s="249">
        <f ca="1"/>
        <v>0</v>
      </c>
      <c r="F27" s="98">
        <f ca="1"/>
        <v>0</v>
      </c>
      <c r="G27" s="99">
        <f ca="1"/>
        <v>0</v>
      </c>
    </row>
    <row r="28" spans="1:7" x14ac:dyDescent="0.25">
      <c r="C28" s="287">
        <f ca="1"/>
        <v>0</v>
      </c>
      <c r="D28" s="43">
        <f ca="1"/>
        <v>2028</v>
      </c>
      <c r="E28" s="249">
        <f ca="1"/>
        <v>0</v>
      </c>
      <c r="F28" s="98">
        <f ca="1"/>
        <v>0</v>
      </c>
      <c r="G28" s="99">
        <f ca="1"/>
        <v>0</v>
      </c>
    </row>
    <row r="29" spans="1:7" x14ac:dyDescent="0.25">
      <c r="C29" s="287">
        <f ca="1"/>
        <v>0</v>
      </c>
      <c r="D29" s="43">
        <f ca="1"/>
        <v>2029</v>
      </c>
      <c r="E29" s="249">
        <f ca="1"/>
        <v>0</v>
      </c>
      <c r="F29" s="98">
        <f ca="1"/>
        <v>0</v>
      </c>
      <c r="G29" s="99">
        <f ca="1"/>
        <v>0</v>
      </c>
    </row>
    <row r="30" spans="1:7" x14ac:dyDescent="0.25">
      <c r="C30" s="287">
        <f ca="1"/>
        <v>0</v>
      </c>
      <c r="D30" s="43">
        <f ca="1"/>
        <v>2030</v>
      </c>
      <c r="E30" s="249">
        <f ca="1"/>
        <v>0</v>
      </c>
      <c r="F30" s="98">
        <f ca="1"/>
        <v>0</v>
      </c>
      <c r="G30" s="99">
        <f ca="1"/>
        <v>0</v>
      </c>
    </row>
    <row r="31" spans="1:7" x14ac:dyDescent="0.25">
      <c r="C31" s="287">
        <f ca="1"/>
        <v>0</v>
      </c>
      <c r="D31" s="43">
        <f ca="1"/>
        <v>2031</v>
      </c>
      <c r="E31" s="249">
        <f ca="1"/>
        <v>89.283867074707388</v>
      </c>
      <c r="F31" s="98">
        <f ca="1"/>
        <v>0</v>
      </c>
      <c r="G31" s="99">
        <f ca="1"/>
        <v>298.81541285696056</v>
      </c>
    </row>
    <row r="32" spans="1:7" x14ac:dyDescent="0.25">
      <c r="C32" s="287">
        <f ca="1"/>
        <v>0</v>
      </c>
      <c r="D32" s="43">
        <f ca="1"/>
        <v>2032</v>
      </c>
      <c r="E32" s="249">
        <f ca="1"/>
        <v>102.56023123649031</v>
      </c>
      <c r="F32" s="98">
        <f ca="1"/>
        <v>0</v>
      </c>
      <c r="G32" s="99">
        <f ca="1"/>
        <v>319.10712065506021</v>
      </c>
    </row>
    <row r="33" spans="3:7" x14ac:dyDescent="0.25">
      <c r="C33" s="287">
        <f ca="1"/>
        <v>0</v>
      </c>
      <c r="D33" s="43">
        <f ca="1"/>
        <v>2033</v>
      </c>
      <c r="E33" s="249">
        <f ca="1"/>
        <v>117.81076890947195</v>
      </c>
      <c r="F33" s="98">
        <f ca="1"/>
        <v>0</v>
      </c>
      <c r="G33" s="99">
        <f ca="1"/>
        <v>340.77678081989592</v>
      </c>
    </row>
    <row r="34" spans="3:7" x14ac:dyDescent="0.25">
      <c r="C34" s="287">
        <f ca="1"/>
        <v>0</v>
      </c>
      <c r="D34" s="43">
        <f ca="1"/>
        <v>2034</v>
      </c>
      <c r="E34" s="249">
        <f ca="1"/>
        <v>135.32903644724627</v>
      </c>
      <c r="F34" s="98">
        <f ca="1"/>
        <v>0</v>
      </c>
      <c r="G34" s="99">
        <f ca="1"/>
        <v>363.91796619136301</v>
      </c>
    </row>
    <row r="35" spans="3:7" x14ac:dyDescent="0.25">
      <c r="C35" s="287">
        <f ca="1"/>
        <v>0</v>
      </c>
      <c r="D35" s="43">
        <f ca="1"/>
        <v>2035</v>
      </c>
      <c r="E35" s="250">
        <f ca="1"/>
        <v>155.45224155028561</v>
      </c>
      <c r="F35" s="100">
        <f ca="1"/>
        <v>0</v>
      </c>
      <c r="G35" s="101">
        <f ca="1"/>
        <v>388.63060387571409</v>
      </c>
    </row>
    <row r="36" spans="3:7" x14ac:dyDescent="0.25">
      <c r="C36" s="288">
        <f ca="1"/>
        <v>0</v>
      </c>
      <c r="D36" s="18" t="str">
        <f ca="1"/>
        <v>Total</v>
      </c>
      <c r="E36" s="108">
        <f ca="1"/>
        <v>600.43614521820155</v>
      </c>
      <c r="F36" s="108" t="e">
        <f ca="1"/>
        <v>#VALUE!</v>
      </c>
      <c r="G36" s="109">
        <f ca="1"/>
        <v>1711.2478843989936</v>
      </c>
    </row>
    <row r="37" spans="3:7" x14ac:dyDescent="0.25">
      <c r="C37">
        <f ca="1"/>
        <v>0</v>
      </c>
      <c r="D37" s="15">
        <f ca="1"/>
        <v>0</v>
      </c>
      <c r="E37" s="15">
        <f ca="1"/>
        <v>0</v>
      </c>
      <c r="F37" s="15">
        <f ca="1"/>
        <v>0</v>
      </c>
      <c r="G37" s="15">
        <f ca="1"/>
        <v>0</v>
      </c>
    </row>
    <row r="38" spans="3:7" ht="30" x14ac:dyDescent="0.25">
      <c r="C38" s="257" t="str">
        <f ca="1"/>
        <v>WEM Low</v>
      </c>
      <c r="D38" s="132" t="str">
        <f ca="1"/>
        <v>Year</v>
      </c>
      <c r="E38" s="183" t="str">
        <f ca="1"/>
        <v>IEA - Emerging and developed economies</v>
      </c>
      <c r="F38" s="183" t="str">
        <f ca="1"/>
        <v>Average of current market prices</v>
      </c>
      <c r="G38" s="247" t="str">
        <f ca="1"/>
        <v>IEA - Selected EMDE with net zero targets scenario</v>
      </c>
    </row>
    <row r="39" spans="3:7" x14ac:dyDescent="0.25">
      <c r="C39" s="289">
        <f ca="1"/>
        <v>0</v>
      </c>
      <c r="D39" s="42">
        <f ca="1"/>
        <v>2024</v>
      </c>
      <c r="E39" s="248">
        <f ca="1"/>
        <v>0</v>
      </c>
      <c r="F39" s="96" t="e">
        <f ca="1"/>
        <v>#VALUE!</v>
      </c>
      <c r="G39" s="97">
        <f ca="1"/>
        <v>0</v>
      </c>
    </row>
    <row r="40" spans="3:7" x14ac:dyDescent="0.25">
      <c r="C40" s="289">
        <f ca="1"/>
        <v>0</v>
      </c>
      <c r="D40" s="43">
        <f ca="1"/>
        <v>2025</v>
      </c>
      <c r="E40" s="249">
        <f ca="1"/>
        <v>0</v>
      </c>
      <c r="F40" s="98">
        <f ca="1"/>
        <v>0</v>
      </c>
      <c r="G40" s="99">
        <f ca="1"/>
        <v>0</v>
      </c>
    </row>
    <row r="41" spans="3:7" x14ac:dyDescent="0.25">
      <c r="C41" s="289">
        <f ca="1"/>
        <v>0</v>
      </c>
      <c r="D41" s="43">
        <f ca="1"/>
        <v>2026</v>
      </c>
      <c r="E41" s="249">
        <f ca="1"/>
        <v>0</v>
      </c>
      <c r="F41" s="98">
        <f ca="1"/>
        <v>0</v>
      </c>
      <c r="G41" s="99">
        <f ca="1"/>
        <v>0</v>
      </c>
    </row>
    <row r="42" spans="3:7" x14ac:dyDescent="0.25">
      <c r="C42" s="289">
        <f ca="1"/>
        <v>0</v>
      </c>
      <c r="D42" s="43">
        <f ca="1"/>
        <v>2027</v>
      </c>
      <c r="E42" s="249">
        <f ca="1"/>
        <v>0</v>
      </c>
      <c r="F42" s="98">
        <f ca="1"/>
        <v>0</v>
      </c>
      <c r="G42" s="99">
        <f ca="1"/>
        <v>0</v>
      </c>
    </row>
    <row r="43" spans="3:7" x14ac:dyDescent="0.25">
      <c r="C43" s="289">
        <f ca="1"/>
        <v>0</v>
      </c>
      <c r="D43" s="43">
        <f ca="1"/>
        <v>2028</v>
      </c>
      <c r="E43" s="249">
        <f ca="1"/>
        <v>0</v>
      </c>
      <c r="F43" s="98">
        <f ca="1"/>
        <v>0</v>
      </c>
      <c r="G43" s="99">
        <f ca="1"/>
        <v>0</v>
      </c>
    </row>
    <row r="44" spans="3:7" x14ac:dyDescent="0.25">
      <c r="C44" s="289">
        <f ca="1"/>
        <v>0</v>
      </c>
      <c r="D44" s="43">
        <f ca="1"/>
        <v>2029</v>
      </c>
      <c r="E44" s="249">
        <f ca="1"/>
        <v>0</v>
      </c>
      <c r="F44" s="98">
        <f ca="1"/>
        <v>0</v>
      </c>
      <c r="G44" s="99">
        <f ca="1"/>
        <v>0</v>
      </c>
    </row>
    <row r="45" spans="3:7" x14ac:dyDescent="0.25">
      <c r="C45" s="289">
        <f ca="1"/>
        <v>0</v>
      </c>
      <c r="D45" s="43">
        <f ca="1"/>
        <v>2030</v>
      </c>
      <c r="E45" s="249">
        <f ca="1"/>
        <v>0</v>
      </c>
      <c r="F45" s="98">
        <f ca="1"/>
        <v>0</v>
      </c>
      <c r="G45" s="99">
        <f ca="1"/>
        <v>0</v>
      </c>
    </row>
    <row r="46" spans="3:7" x14ac:dyDescent="0.25">
      <c r="C46" s="289">
        <f ca="1"/>
        <v>0</v>
      </c>
      <c r="D46" s="43">
        <f ca="1"/>
        <v>2031</v>
      </c>
      <c r="E46" s="249">
        <f ca="1"/>
        <v>89.283867074707388</v>
      </c>
      <c r="F46" s="98">
        <f ca="1"/>
        <v>0</v>
      </c>
      <c r="G46" s="99">
        <f ca="1"/>
        <v>298.81541285696056</v>
      </c>
    </row>
    <row r="47" spans="3:7" x14ac:dyDescent="0.25">
      <c r="C47" s="289">
        <f ca="1"/>
        <v>0</v>
      </c>
      <c r="D47" s="43">
        <f ca="1"/>
        <v>2032</v>
      </c>
      <c r="E47" s="249">
        <f ca="1"/>
        <v>102.56023123649031</v>
      </c>
      <c r="F47" s="98">
        <f ca="1"/>
        <v>0</v>
      </c>
      <c r="G47" s="99">
        <f ca="1"/>
        <v>319.10712065506021</v>
      </c>
    </row>
    <row r="48" spans="3:7" x14ac:dyDescent="0.25">
      <c r="C48" s="289">
        <f ca="1"/>
        <v>0</v>
      </c>
      <c r="D48" s="43">
        <f ca="1"/>
        <v>2033</v>
      </c>
      <c r="E48" s="249">
        <f ca="1"/>
        <v>117.81076890947195</v>
      </c>
      <c r="F48" s="98">
        <f ca="1"/>
        <v>0</v>
      </c>
      <c r="G48" s="99">
        <f ca="1"/>
        <v>340.77678081989592</v>
      </c>
    </row>
    <row r="49" spans="1:7" x14ac:dyDescent="0.25">
      <c r="C49" s="289">
        <f ca="1"/>
        <v>0</v>
      </c>
      <c r="D49" s="43">
        <f ca="1"/>
        <v>2034</v>
      </c>
      <c r="E49" s="249">
        <f ca="1"/>
        <v>135.32903644724627</v>
      </c>
      <c r="F49" s="98">
        <f ca="1"/>
        <v>0</v>
      </c>
      <c r="G49" s="99">
        <f ca="1"/>
        <v>363.91796619136301</v>
      </c>
    </row>
    <row r="50" spans="1:7" x14ac:dyDescent="0.25">
      <c r="C50" s="289">
        <f ca="1"/>
        <v>0</v>
      </c>
      <c r="D50" s="43">
        <f ca="1"/>
        <v>2035</v>
      </c>
      <c r="E50" s="250">
        <f ca="1"/>
        <v>155.45224155028561</v>
      </c>
      <c r="F50" s="100">
        <f ca="1"/>
        <v>0</v>
      </c>
      <c r="G50" s="101">
        <f ca="1"/>
        <v>388.63060387571409</v>
      </c>
    </row>
    <row r="51" spans="1:7" x14ac:dyDescent="0.25">
      <c r="C51" s="290">
        <f ca="1"/>
        <v>0</v>
      </c>
      <c r="D51" s="18" t="str">
        <f ca="1"/>
        <v>Total</v>
      </c>
      <c r="E51" s="108">
        <f ca="1"/>
        <v>600.43614521820155</v>
      </c>
      <c r="F51" s="108" t="e">
        <f ca="1"/>
        <v>#VALUE!</v>
      </c>
      <c r="G51" s="109">
        <f ca="1"/>
        <v>1711.2478843989936</v>
      </c>
    </row>
    <row r="52" spans="1:7" ht="17.25" x14ac:dyDescent="0.3">
      <c r="C52" s="8"/>
      <c r="F52" s="25"/>
      <c r="G52" s="25"/>
    </row>
    <row r="53" spans="1:7" ht="17.25" x14ac:dyDescent="0.3">
      <c r="C53" s="8"/>
      <c r="F53" s="25"/>
      <c r="G53" s="25"/>
    </row>
    <row r="54" spans="1:7" ht="17.25" x14ac:dyDescent="0.3">
      <c r="C54" s="8"/>
      <c r="F54" s="25"/>
      <c r="G54" s="25"/>
    </row>
    <row r="55" spans="1:7" x14ac:dyDescent="0.25">
      <c r="A55" s="61" t="s">
        <v>48</v>
      </c>
      <c r="F55" s="22"/>
      <c r="G55" s="25"/>
    </row>
    <row r="56" spans="1:7" ht="30" x14ac:dyDescent="0.25">
      <c r="A56" s="315" t="s">
        <v>241</v>
      </c>
      <c r="C56" s="343" t="s">
        <v>61</v>
      </c>
      <c r="D56" s="132" t="s">
        <v>60</v>
      </c>
      <c r="E56" s="71" t="s">
        <v>242</v>
      </c>
      <c r="F56" s="71" t="s">
        <v>192</v>
      </c>
      <c r="G56" s="72" t="s">
        <v>243</v>
      </c>
    </row>
    <row r="57" spans="1:7" x14ac:dyDescent="0.25">
      <c r="A57" s="316"/>
      <c r="C57" s="344"/>
      <c r="D57" s="124">
        <v>2024</v>
      </c>
      <c r="E57" s="111">
        <f ca="1">E9*'Calcs - Discounted cash flows'!$I8</f>
        <v>0</v>
      </c>
      <c r="F57" s="111" t="e">
        <f ca="1">F9*'Calcs - Discounted cash flows'!$I8</f>
        <v>#VALUE!</v>
      </c>
      <c r="G57" s="112">
        <f ca="1">G9*'Calcs - Discounted cash flows'!$I8</f>
        <v>0</v>
      </c>
    </row>
    <row r="58" spans="1:7" x14ac:dyDescent="0.25">
      <c r="A58" s="316"/>
      <c r="C58" s="344"/>
      <c r="D58" s="89">
        <v>2025</v>
      </c>
      <c r="E58" s="292">
        <f ca="1">E10*'Calcs - Discounted cash flows'!$I9</f>
        <v>0</v>
      </c>
      <c r="F58" s="113">
        <f ca="1">F10*'Calcs - Discounted cash flows'!$I9</f>
        <v>0</v>
      </c>
      <c r="G58" s="114">
        <f ca="1">G10*'Calcs - Discounted cash flows'!$I9</f>
        <v>0</v>
      </c>
    </row>
    <row r="59" spans="1:7" x14ac:dyDescent="0.25">
      <c r="A59" s="316"/>
      <c r="C59" s="344"/>
      <c r="D59" s="89">
        <v>2026</v>
      </c>
      <c r="E59" s="292">
        <f ca="1">E11*'Calcs - Discounted cash flows'!$I10</f>
        <v>0</v>
      </c>
      <c r="F59" s="113">
        <f ca="1">F11*'Calcs - Discounted cash flows'!$I10</f>
        <v>0</v>
      </c>
      <c r="G59" s="114">
        <f ca="1">G11*'Calcs - Discounted cash flows'!$I10</f>
        <v>0</v>
      </c>
    </row>
    <row r="60" spans="1:7" x14ac:dyDescent="0.25">
      <c r="A60" s="316"/>
      <c r="C60" s="344"/>
      <c r="D60" s="89">
        <v>2027</v>
      </c>
      <c r="E60" s="292">
        <f ca="1">E12*'Calcs - Discounted cash flows'!$I11</f>
        <v>0</v>
      </c>
      <c r="F60" s="113">
        <f ca="1">F12*'Calcs - Discounted cash flows'!$I11</f>
        <v>0</v>
      </c>
      <c r="G60" s="114">
        <f ca="1">G12*'Calcs - Discounted cash flows'!$I11</f>
        <v>0</v>
      </c>
    </row>
    <row r="61" spans="1:7" x14ac:dyDescent="0.25">
      <c r="A61" s="316"/>
      <c r="C61" s="344"/>
      <c r="D61" s="89">
        <v>2028</v>
      </c>
      <c r="E61" s="292">
        <f ca="1">E13*'Calcs - Discounted cash flows'!$I12</f>
        <v>0</v>
      </c>
      <c r="F61" s="113">
        <f ca="1">F13*'Calcs - Discounted cash flows'!$I12</f>
        <v>0</v>
      </c>
      <c r="G61" s="114">
        <f ca="1">G13*'Calcs - Discounted cash flows'!$I12</f>
        <v>0</v>
      </c>
    </row>
    <row r="62" spans="1:7" x14ac:dyDescent="0.25">
      <c r="A62" s="316"/>
      <c r="C62" s="344"/>
      <c r="D62" s="89">
        <v>2029</v>
      </c>
      <c r="E62" s="292">
        <f ca="1">E14*'Calcs - Discounted cash flows'!$I13</f>
        <v>0</v>
      </c>
      <c r="F62" s="113">
        <f ca="1">F14*'Calcs - Discounted cash flows'!$I13</f>
        <v>0</v>
      </c>
      <c r="G62" s="114">
        <f ca="1">G14*'Calcs - Discounted cash flows'!$I13</f>
        <v>0</v>
      </c>
    </row>
    <row r="63" spans="1:7" x14ac:dyDescent="0.25">
      <c r="A63" s="316"/>
      <c r="C63" s="344"/>
      <c r="D63" s="89">
        <v>2030</v>
      </c>
      <c r="E63" s="292">
        <f ca="1">E15*'Calcs - Discounted cash flows'!$I14</f>
        <v>0</v>
      </c>
      <c r="F63" s="113">
        <f ca="1">F15*'Calcs - Discounted cash flows'!$I14</f>
        <v>0</v>
      </c>
      <c r="G63" s="114">
        <f ca="1">G15*'Calcs - Discounted cash flows'!$I14</f>
        <v>0</v>
      </c>
    </row>
    <row r="64" spans="1:7" x14ac:dyDescent="0.25">
      <c r="A64" s="316"/>
      <c r="C64" s="344"/>
      <c r="D64" s="89">
        <v>2031</v>
      </c>
      <c r="E64" s="292">
        <f ca="1">E16*'Calcs - Discounted cash flows'!$I15</f>
        <v>44.664162285624847</v>
      </c>
      <c r="F64" s="113">
        <f ca="1">F16*'Calcs - Discounted cash flows'!$I15</f>
        <v>0</v>
      </c>
      <c r="G64" s="114">
        <f ca="1">G16*'Calcs - Discounted cash flows'!$I15</f>
        <v>149.48210164465499</v>
      </c>
    </row>
    <row r="65" spans="1:9" x14ac:dyDescent="0.25">
      <c r="A65" s="316"/>
      <c r="C65" s="344"/>
      <c r="D65" s="89">
        <v>2032</v>
      </c>
      <c r="E65" s="292">
        <f ca="1">E17*'Calcs - Discounted cash flows'!$I16</f>
        <v>47.505231245201728</v>
      </c>
      <c r="F65" s="113">
        <f ca="1">F17*'Calcs - Discounted cash flows'!$I16</f>
        <v>0</v>
      </c>
      <c r="G65" s="114">
        <f ca="1">G17*'Calcs - Discounted cash flows'!$I16</f>
        <v>147.8083402888775</v>
      </c>
    </row>
    <row r="66" spans="1:9" x14ac:dyDescent="0.25">
      <c r="A66" s="316"/>
      <c r="C66" s="344"/>
      <c r="D66" s="89">
        <v>2033</v>
      </c>
      <c r="E66" s="292">
        <f ca="1">E18*'Calcs - Discounted cash flows'!$I17</f>
        <v>50.527019430663863</v>
      </c>
      <c r="F66" s="113">
        <f ca="1">F18*'Calcs - Discounted cash flows'!$I17</f>
        <v>0</v>
      </c>
      <c r="G66" s="114">
        <f ca="1">G18*'Calcs - Discounted cash flows'!$I17</f>
        <v>146.1533201539236</v>
      </c>
    </row>
    <row r="67" spans="1:9" x14ac:dyDescent="0.25">
      <c r="A67" s="316"/>
      <c r="C67" s="344"/>
      <c r="D67" s="89">
        <v>2034</v>
      </c>
      <c r="E67" s="292">
        <f ca="1">E19*'Calcs - Discounted cash flows'!$I18</f>
        <v>53.7410223175063</v>
      </c>
      <c r="F67" s="113">
        <f ca="1">F19*'Calcs - Discounted cash flows'!$I18</f>
        <v>0</v>
      </c>
      <c r="G67" s="114">
        <f ca="1">G19*'Calcs - Discounted cash flows'!$I18</f>
        <v>144.51683139305692</v>
      </c>
    </row>
    <row r="68" spans="1:9" ht="15.75" thickBot="1" x14ac:dyDescent="0.3">
      <c r="A68" s="316"/>
      <c r="C68" s="344"/>
      <c r="D68" s="89">
        <v>2035</v>
      </c>
      <c r="E68" s="291">
        <f ca="1">E20*'Calcs - Discounted cash flows'!$I19</f>
        <v>57.159466603683732</v>
      </c>
      <c r="F68" s="115">
        <f ca="1">F20*'Calcs - Discounted cash flows'!$I19</f>
        <v>0</v>
      </c>
      <c r="G68" s="116">
        <f ca="1">G20*'Calcs - Discounted cash flows'!$I19</f>
        <v>142.89866650920936</v>
      </c>
    </row>
    <row r="69" spans="1:9" ht="16.5" thickTop="1" thickBot="1" x14ac:dyDescent="0.3">
      <c r="A69" s="316"/>
      <c r="C69" s="344"/>
      <c r="D69" s="173" t="s">
        <v>193</v>
      </c>
      <c r="E69" s="113">
        <f ca="1">SUM(E57:E68)</f>
        <v>253.59690188268047</v>
      </c>
      <c r="F69" s="113" t="e">
        <f ca="1">SUM(F57:F68)</f>
        <v>#VALUE!</v>
      </c>
      <c r="G69" s="112">
        <f ca="1">SUM(G57:G68)</f>
        <v>730.85925998972243</v>
      </c>
      <c r="H69" s="293" t="e">
        <f ca="1">--(SUM(E69:G69)&gt;=SUM(E21:G21))</f>
        <v>#VALUE!</v>
      </c>
      <c r="I69" s="284" t="s">
        <v>244</v>
      </c>
    </row>
    <row r="70" spans="1:9" ht="15.75" thickTop="1" x14ac:dyDescent="0.25">
      <c r="A70" s="316"/>
      <c r="C70" s="344"/>
      <c r="D70" s="169" t="s">
        <v>232</v>
      </c>
      <c r="E70" s="113">
        <f ca="1">E69-OFFSET('Calcs - Discounted cash flows'!$C$26, 15, $D$5+1)</f>
        <v>-226.87346293192894</v>
      </c>
      <c r="F70" s="113" t="e">
        <f ca="1">F69-OFFSET('Calcs - Discounted cash flows'!$C$26, 15, $D$5+2)</f>
        <v>#VALUE!</v>
      </c>
      <c r="G70" s="114">
        <f ca="1">G69-OFFSET('Calcs - Discounted cash flows'!$C$26, 15, $D$5+3)</f>
        <v>-642.40019339519904</v>
      </c>
    </row>
    <row r="71" spans="1:9" x14ac:dyDescent="0.25">
      <c r="A71" s="316"/>
      <c r="C71" s="345"/>
      <c r="D71" s="170" t="s">
        <v>233</v>
      </c>
      <c r="E71" s="54">
        <f ca="1">E70/OFFSET('Calcs - Discounted cash flows'!$C$26, 15, $D$5+1)</f>
        <v>-0.47219033585863007</v>
      </c>
      <c r="F71" s="54" t="e">
        <f ca="1">F70/OFFSET('Calcs - Discounted cash flows'!$C$26, 15, $D$5+2)</f>
        <v>#VALUE!</v>
      </c>
      <c r="G71" s="55">
        <f ca="1">G70/OFFSET('Calcs - Discounted cash flows'!$C$26, 15, $D$5+3)</f>
        <v>-0.46779229650431958</v>
      </c>
    </row>
    <row r="72" spans="1:9" x14ac:dyDescent="0.25">
      <c r="A72" s="316"/>
    </row>
    <row r="73" spans="1:9" ht="30" x14ac:dyDescent="0.25">
      <c r="A73" s="316"/>
      <c r="C73" s="346" t="s">
        <v>146</v>
      </c>
      <c r="D73" s="132" t="s">
        <v>60</v>
      </c>
      <c r="E73" s="71" t="s">
        <v>242</v>
      </c>
      <c r="F73" s="71" t="s">
        <v>192</v>
      </c>
      <c r="G73" s="72" t="s">
        <v>243</v>
      </c>
    </row>
    <row r="74" spans="1:9" x14ac:dyDescent="0.25">
      <c r="A74" s="316"/>
      <c r="C74" s="347"/>
      <c r="D74" s="124">
        <v>2024</v>
      </c>
      <c r="E74" s="111">
        <f ca="1">E24*'Calcs - Discounted cash flows'!$I8</f>
        <v>0</v>
      </c>
      <c r="F74" s="111" t="e">
        <f ca="1">F24*'Calcs - Discounted cash flows'!$I8</f>
        <v>#VALUE!</v>
      </c>
      <c r="G74" s="112">
        <f ca="1">G24*'Calcs - Discounted cash flows'!$I8</f>
        <v>0</v>
      </c>
    </row>
    <row r="75" spans="1:9" x14ac:dyDescent="0.25">
      <c r="A75" s="316"/>
      <c r="C75" s="347"/>
      <c r="D75" s="89">
        <v>2025</v>
      </c>
      <c r="E75" s="292">
        <f ca="1">E25*'Calcs - Discounted cash flows'!$I9</f>
        <v>0</v>
      </c>
      <c r="F75" s="113">
        <f ca="1">F25*'Calcs - Discounted cash flows'!$I9</f>
        <v>0</v>
      </c>
      <c r="G75" s="114">
        <f ca="1">G25*'Calcs - Discounted cash flows'!$I9</f>
        <v>0</v>
      </c>
    </row>
    <row r="76" spans="1:9" x14ac:dyDescent="0.25">
      <c r="A76" s="316"/>
      <c r="C76" s="347"/>
      <c r="D76" s="89">
        <v>2026</v>
      </c>
      <c r="E76" s="292">
        <f ca="1">E26*'Calcs - Discounted cash flows'!$I10</f>
        <v>0</v>
      </c>
      <c r="F76" s="113">
        <f ca="1">F26*'Calcs - Discounted cash flows'!$I10</f>
        <v>0</v>
      </c>
      <c r="G76" s="114">
        <f ca="1">G26*'Calcs - Discounted cash flows'!$I10</f>
        <v>0</v>
      </c>
    </row>
    <row r="77" spans="1:9" x14ac:dyDescent="0.25">
      <c r="A77" s="316"/>
      <c r="C77" s="347"/>
      <c r="D77" s="89">
        <v>2027</v>
      </c>
      <c r="E77" s="292">
        <f ca="1">E27*'Calcs - Discounted cash flows'!$I11</f>
        <v>0</v>
      </c>
      <c r="F77" s="113">
        <f ca="1">F27*'Calcs - Discounted cash flows'!$I11</f>
        <v>0</v>
      </c>
      <c r="G77" s="114">
        <f ca="1">G27*'Calcs - Discounted cash flows'!$I11</f>
        <v>0</v>
      </c>
    </row>
    <row r="78" spans="1:9" x14ac:dyDescent="0.25">
      <c r="A78" s="316"/>
      <c r="C78" s="347"/>
      <c r="D78" s="89">
        <v>2028</v>
      </c>
      <c r="E78" s="292">
        <f ca="1">E28*'Calcs - Discounted cash flows'!$I12</f>
        <v>0</v>
      </c>
      <c r="F78" s="113">
        <f ca="1">F28*'Calcs - Discounted cash flows'!$I12</f>
        <v>0</v>
      </c>
      <c r="G78" s="114">
        <f ca="1">G28*'Calcs - Discounted cash flows'!$I12</f>
        <v>0</v>
      </c>
    </row>
    <row r="79" spans="1:9" x14ac:dyDescent="0.25">
      <c r="A79" s="316"/>
      <c r="C79" s="347"/>
      <c r="D79" s="89">
        <v>2029</v>
      </c>
      <c r="E79" s="292">
        <f ca="1">E29*'Calcs - Discounted cash flows'!$I13</f>
        <v>0</v>
      </c>
      <c r="F79" s="113">
        <f ca="1">F29*'Calcs - Discounted cash flows'!$I13</f>
        <v>0</v>
      </c>
      <c r="G79" s="114">
        <f ca="1">G29*'Calcs - Discounted cash flows'!$I13</f>
        <v>0</v>
      </c>
    </row>
    <row r="80" spans="1:9" x14ac:dyDescent="0.25">
      <c r="A80" s="316"/>
      <c r="C80" s="347"/>
      <c r="D80" s="89">
        <v>2030</v>
      </c>
      <c r="E80" s="292">
        <f ca="1">E30*'Calcs - Discounted cash flows'!$I14</f>
        <v>0</v>
      </c>
      <c r="F80" s="113">
        <f ca="1">F30*'Calcs - Discounted cash flows'!$I14</f>
        <v>0</v>
      </c>
      <c r="G80" s="114">
        <f ca="1">G30*'Calcs - Discounted cash flows'!$I14</f>
        <v>0</v>
      </c>
    </row>
    <row r="81" spans="1:8" x14ac:dyDescent="0.25">
      <c r="A81" s="316"/>
      <c r="C81" s="347"/>
      <c r="D81" s="89">
        <v>2031</v>
      </c>
      <c r="E81" s="292">
        <f ca="1">E31*'Calcs - Discounted cash flows'!$I15</f>
        <v>44.664162285624847</v>
      </c>
      <c r="F81" s="113">
        <f ca="1">F31*'Calcs - Discounted cash flows'!$I15</f>
        <v>0</v>
      </c>
      <c r="G81" s="114">
        <f ca="1">G31*'Calcs - Discounted cash flows'!$I15</f>
        <v>149.48210164465499</v>
      </c>
    </row>
    <row r="82" spans="1:8" x14ac:dyDescent="0.25">
      <c r="A82" s="316"/>
      <c r="C82" s="347"/>
      <c r="D82" s="89">
        <v>2032</v>
      </c>
      <c r="E82" s="292">
        <f ca="1">E32*'Calcs - Discounted cash flows'!$I16</f>
        <v>47.505231245201728</v>
      </c>
      <c r="F82" s="113">
        <f ca="1">F32*'Calcs - Discounted cash flows'!$I16</f>
        <v>0</v>
      </c>
      <c r="G82" s="114">
        <f ca="1">G32*'Calcs - Discounted cash flows'!$I16</f>
        <v>147.8083402888775</v>
      </c>
    </row>
    <row r="83" spans="1:8" x14ac:dyDescent="0.25">
      <c r="A83" s="316"/>
      <c r="C83" s="347"/>
      <c r="D83" s="89">
        <v>2033</v>
      </c>
      <c r="E83" s="292">
        <f ca="1">E33*'Calcs - Discounted cash flows'!$I17</f>
        <v>50.527019430663863</v>
      </c>
      <c r="F83" s="113">
        <f ca="1">F33*'Calcs - Discounted cash flows'!$I17</f>
        <v>0</v>
      </c>
      <c r="G83" s="114">
        <f ca="1">G33*'Calcs - Discounted cash flows'!$I17</f>
        <v>146.1533201539236</v>
      </c>
    </row>
    <row r="84" spans="1:8" x14ac:dyDescent="0.25">
      <c r="A84" s="316"/>
      <c r="C84" s="347"/>
      <c r="D84" s="89">
        <v>2034</v>
      </c>
      <c r="E84" s="292">
        <f ca="1">E34*'Calcs - Discounted cash flows'!$I18</f>
        <v>53.7410223175063</v>
      </c>
      <c r="F84" s="113">
        <f ca="1">F34*'Calcs - Discounted cash flows'!$I18</f>
        <v>0</v>
      </c>
      <c r="G84" s="114">
        <f ca="1">G34*'Calcs - Discounted cash flows'!$I18</f>
        <v>144.51683139305692</v>
      </c>
    </row>
    <row r="85" spans="1:8" ht="15.75" thickBot="1" x14ac:dyDescent="0.3">
      <c r="A85" s="316"/>
      <c r="C85" s="347"/>
      <c r="D85" s="89">
        <v>2035</v>
      </c>
      <c r="E85" s="291">
        <f ca="1">E35*'Calcs - Discounted cash flows'!$I19</f>
        <v>57.159466603683732</v>
      </c>
      <c r="F85" s="115">
        <f ca="1">F35*'Calcs - Discounted cash flows'!$I19</f>
        <v>0</v>
      </c>
      <c r="G85" s="116">
        <f ca="1">G35*'Calcs - Discounted cash flows'!$I19</f>
        <v>142.89866650920936</v>
      </c>
    </row>
    <row r="86" spans="1:8" ht="16.5" thickTop="1" thickBot="1" x14ac:dyDescent="0.3">
      <c r="A86" s="316"/>
      <c r="C86" s="347"/>
      <c r="D86" s="173" t="s">
        <v>193</v>
      </c>
      <c r="E86" s="113">
        <f ca="1">SUM(E74:E85)</f>
        <v>253.59690188268047</v>
      </c>
      <c r="F86" s="113" t="e">
        <f ca="1">SUM(F74:F85)</f>
        <v>#VALUE!</v>
      </c>
      <c r="G86" s="114">
        <f ca="1">SUM(G74:G85)</f>
        <v>730.85925998972243</v>
      </c>
      <c r="H86" s="293" t="e">
        <f ca="1">--(SUM(E86:G86)&gt;=SUM(E36:G36))</f>
        <v>#VALUE!</v>
      </c>
    </row>
    <row r="87" spans="1:8" ht="15.75" thickTop="1" x14ac:dyDescent="0.25">
      <c r="A87" s="316"/>
      <c r="C87" s="347"/>
      <c r="D87" s="169" t="s">
        <v>232</v>
      </c>
      <c r="E87" s="113">
        <f ca="1">E86-OFFSET('Calcs - Discounted cash flows'!$C$26, 30, $D$5+1)</f>
        <v>-226.87346293192894</v>
      </c>
      <c r="F87" s="113" t="e">
        <f ca="1">F86-OFFSET('Calcs - Discounted cash flows'!$C$26, 30, $D$5+2)</f>
        <v>#VALUE!</v>
      </c>
      <c r="G87" s="114">
        <f ca="1">G86-OFFSET('Calcs - Discounted cash flows'!$C$26, 30, $D$5+3)</f>
        <v>-642.40019339519904</v>
      </c>
    </row>
    <row r="88" spans="1:8" x14ac:dyDescent="0.25">
      <c r="A88" s="316"/>
      <c r="C88" s="348"/>
      <c r="D88" s="170" t="s">
        <v>233</v>
      </c>
      <c r="E88" s="54">
        <f ca="1">E87/OFFSET('Calcs - Discounted cash flows'!$C$26, 30, $D$5+1)</f>
        <v>-0.47219033585863007</v>
      </c>
      <c r="F88" s="54" t="e">
        <f ca="1">F87/OFFSET('Calcs - Discounted cash flows'!$C$26, 30, $D$5+2)</f>
        <v>#VALUE!</v>
      </c>
      <c r="G88" s="55">
        <f ca="1">G87/OFFSET('Calcs - Discounted cash flows'!$C$26,30, $D$5+3)</f>
        <v>-0.46779229650431958</v>
      </c>
    </row>
    <row r="89" spans="1:8" x14ac:dyDescent="0.25">
      <c r="A89" s="316"/>
    </row>
    <row r="90" spans="1:8" ht="30" x14ac:dyDescent="0.25">
      <c r="A90" s="316"/>
      <c r="C90" s="349" t="s">
        <v>63</v>
      </c>
      <c r="D90" s="132" t="s">
        <v>60</v>
      </c>
      <c r="E90" s="71" t="s">
        <v>242</v>
      </c>
      <c r="F90" s="71" t="s">
        <v>192</v>
      </c>
      <c r="G90" s="72" t="s">
        <v>243</v>
      </c>
    </row>
    <row r="91" spans="1:8" x14ac:dyDescent="0.25">
      <c r="A91" s="316"/>
      <c r="C91" s="350"/>
      <c r="D91" s="124">
        <v>2024</v>
      </c>
      <c r="E91" s="111">
        <f ca="1">E39*'Calcs - Discounted cash flows'!$I8</f>
        <v>0</v>
      </c>
      <c r="F91" s="111" t="e">
        <f ca="1">F39*'Calcs - Discounted cash flows'!$I8</f>
        <v>#VALUE!</v>
      </c>
      <c r="G91" s="112">
        <f ca="1">G39*'Calcs - Discounted cash flows'!$I8</f>
        <v>0</v>
      </c>
    </row>
    <row r="92" spans="1:8" x14ac:dyDescent="0.25">
      <c r="A92" s="316"/>
      <c r="C92" s="350"/>
      <c r="D92" s="89">
        <v>2025</v>
      </c>
      <c r="E92" s="292">
        <f ca="1">E40*'Calcs - Discounted cash flows'!$I9</f>
        <v>0</v>
      </c>
      <c r="F92" s="113">
        <f ca="1">F40*'Calcs - Discounted cash flows'!$I9</f>
        <v>0</v>
      </c>
      <c r="G92" s="114">
        <f ca="1">G40*'Calcs - Discounted cash flows'!$I9</f>
        <v>0</v>
      </c>
    </row>
    <row r="93" spans="1:8" x14ac:dyDescent="0.25">
      <c r="A93" s="316"/>
      <c r="C93" s="350"/>
      <c r="D93" s="89">
        <v>2026</v>
      </c>
      <c r="E93" s="292">
        <f ca="1">E41*'Calcs - Discounted cash flows'!$I10</f>
        <v>0</v>
      </c>
      <c r="F93" s="113">
        <f ca="1">F41*'Calcs - Discounted cash flows'!$I10</f>
        <v>0</v>
      </c>
      <c r="G93" s="114">
        <f ca="1">G41*'Calcs - Discounted cash flows'!$I10</f>
        <v>0</v>
      </c>
    </row>
    <row r="94" spans="1:8" x14ac:dyDescent="0.25">
      <c r="A94" s="316"/>
      <c r="C94" s="350"/>
      <c r="D94" s="89">
        <v>2027</v>
      </c>
      <c r="E94" s="292">
        <f ca="1">E42*'Calcs - Discounted cash flows'!$I11</f>
        <v>0</v>
      </c>
      <c r="F94" s="113">
        <f ca="1">F42*'Calcs - Discounted cash flows'!$I11</f>
        <v>0</v>
      </c>
      <c r="G94" s="114">
        <f ca="1">G42*'Calcs - Discounted cash flows'!$I11</f>
        <v>0</v>
      </c>
    </row>
    <row r="95" spans="1:8" x14ac:dyDescent="0.25">
      <c r="A95" s="316"/>
      <c r="C95" s="350"/>
      <c r="D95" s="89">
        <v>2028</v>
      </c>
      <c r="E95" s="292">
        <f ca="1">E43*'Calcs - Discounted cash flows'!$I12</f>
        <v>0</v>
      </c>
      <c r="F95" s="113">
        <f ca="1">F43*'Calcs - Discounted cash flows'!$I12</f>
        <v>0</v>
      </c>
      <c r="G95" s="114">
        <f ca="1">G43*'Calcs - Discounted cash flows'!$I12</f>
        <v>0</v>
      </c>
    </row>
    <row r="96" spans="1:8" x14ac:dyDescent="0.25">
      <c r="A96" s="316"/>
      <c r="C96" s="350"/>
      <c r="D96" s="89">
        <v>2029</v>
      </c>
      <c r="E96" s="292">
        <f ca="1">E44*'Calcs - Discounted cash flows'!$I13</f>
        <v>0</v>
      </c>
      <c r="F96" s="113">
        <f ca="1">F44*'Calcs - Discounted cash flows'!$I13</f>
        <v>0</v>
      </c>
      <c r="G96" s="114">
        <f ca="1">G44*'Calcs - Discounted cash flows'!$I13</f>
        <v>0</v>
      </c>
    </row>
    <row r="97" spans="1:8" x14ac:dyDescent="0.25">
      <c r="A97" s="316"/>
      <c r="C97" s="350"/>
      <c r="D97" s="89">
        <v>2030</v>
      </c>
      <c r="E97" s="292">
        <f ca="1">E45*'Calcs - Discounted cash flows'!$I14</f>
        <v>0</v>
      </c>
      <c r="F97" s="113">
        <f ca="1">F45*'Calcs - Discounted cash flows'!$I14</f>
        <v>0</v>
      </c>
      <c r="G97" s="114">
        <f ca="1">G45*'Calcs - Discounted cash flows'!$I14</f>
        <v>0</v>
      </c>
    </row>
    <row r="98" spans="1:8" x14ac:dyDescent="0.25">
      <c r="A98" s="316"/>
      <c r="C98" s="350"/>
      <c r="D98" s="89">
        <v>2031</v>
      </c>
      <c r="E98" s="292">
        <f ca="1">E46*'Calcs - Discounted cash flows'!$I15</f>
        <v>44.664162285624847</v>
      </c>
      <c r="F98" s="113">
        <f ca="1">F46*'Calcs - Discounted cash flows'!$I15</f>
        <v>0</v>
      </c>
      <c r="G98" s="114">
        <f ca="1">G46*'Calcs - Discounted cash flows'!$I15</f>
        <v>149.48210164465499</v>
      </c>
    </row>
    <row r="99" spans="1:8" x14ac:dyDescent="0.25">
      <c r="A99" s="316"/>
      <c r="C99" s="350"/>
      <c r="D99" s="89">
        <v>2032</v>
      </c>
      <c r="E99" s="292">
        <f ca="1">E47*'Calcs - Discounted cash flows'!$I16</f>
        <v>47.505231245201728</v>
      </c>
      <c r="F99" s="113">
        <f ca="1">F47*'Calcs - Discounted cash flows'!$I16</f>
        <v>0</v>
      </c>
      <c r="G99" s="114">
        <f ca="1">G47*'Calcs - Discounted cash flows'!$I16</f>
        <v>147.8083402888775</v>
      </c>
    </row>
    <row r="100" spans="1:8" x14ac:dyDescent="0.25">
      <c r="A100" s="316"/>
      <c r="C100" s="350"/>
      <c r="D100" s="89">
        <v>2033</v>
      </c>
      <c r="E100" s="292">
        <f ca="1">E48*'Calcs - Discounted cash flows'!$I17</f>
        <v>50.527019430663863</v>
      </c>
      <c r="F100" s="113">
        <f ca="1">F48*'Calcs - Discounted cash flows'!$I17</f>
        <v>0</v>
      </c>
      <c r="G100" s="114">
        <f ca="1">G48*'Calcs - Discounted cash flows'!$I17</f>
        <v>146.1533201539236</v>
      </c>
    </row>
    <row r="101" spans="1:8" x14ac:dyDescent="0.25">
      <c r="A101" s="316"/>
      <c r="C101" s="350"/>
      <c r="D101" s="89">
        <v>2034</v>
      </c>
      <c r="E101" s="292">
        <f ca="1">E49*'Calcs - Discounted cash flows'!$I18</f>
        <v>53.7410223175063</v>
      </c>
      <c r="F101" s="113">
        <f ca="1">F49*'Calcs - Discounted cash flows'!$I18</f>
        <v>0</v>
      </c>
      <c r="G101" s="114">
        <f ca="1">G49*'Calcs - Discounted cash flows'!$I18</f>
        <v>144.51683139305692</v>
      </c>
    </row>
    <row r="102" spans="1:8" ht="15.75" thickBot="1" x14ac:dyDescent="0.3">
      <c r="A102" s="316"/>
      <c r="C102" s="350"/>
      <c r="D102" s="89">
        <v>2035</v>
      </c>
      <c r="E102" s="291">
        <f ca="1">E50*'Calcs - Discounted cash flows'!$I19</f>
        <v>57.159466603683732</v>
      </c>
      <c r="F102" s="115">
        <f ca="1">F50*'Calcs - Discounted cash flows'!$I19</f>
        <v>0</v>
      </c>
      <c r="G102" s="116">
        <f ca="1">G50*'Calcs - Discounted cash flows'!$I19</f>
        <v>142.89866650920936</v>
      </c>
    </row>
    <row r="103" spans="1:8" ht="16.5" thickTop="1" thickBot="1" x14ac:dyDescent="0.3">
      <c r="A103" s="316"/>
      <c r="C103" s="350"/>
      <c r="D103" s="173" t="s">
        <v>193</v>
      </c>
      <c r="E103" s="113">
        <f ca="1">SUM(E91:E102)</f>
        <v>253.59690188268047</v>
      </c>
      <c r="F103" s="113" t="e">
        <f ca="1">SUM(F91:F102)</f>
        <v>#VALUE!</v>
      </c>
      <c r="G103" s="114">
        <f ca="1">SUM(G91:G102)</f>
        <v>730.85925998972243</v>
      </c>
      <c r="H103" s="293" t="e">
        <f ca="1">--(SUM(E103:G103)&gt;=SUM(E51:G51))</f>
        <v>#VALUE!</v>
      </c>
    </row>
    <row r="104" spans="1:8" ht="15.75" thickTop="1" x14ac:dyDescent="0.25">
      <c r="A104" s="316"/>
      <c r="C104" s="350"/>
      <c r="D104" s="169" t="s">
        <v>232</v>
      </c>
      <c r="E104" s="113">
        <f ca="1">E103-OFFSET('Calcs - Discounted cash flows'!$C$26, 45, $D$5+1)</f>
        <v>-226.87346293192894</v>
      </c>
      <c r="F104" s="113" t="e">
        <f ca="1">F103-OFFSET('Calcs - Discounted cash flows'!$C$26, 45, $D$5+2)</f>
        <v>#VALUE!</v>
      </c>
      <c r="G104" s="114">
        <f ca="1">G103-OFFSET('Calcs - Discounted cash flows'!$C$26, 45, $D$5+3)</f>
        <v>-642.40019339519904</v>
      </c>
    </row>
    <row r="105" spans="1:8" x14ac:dyDescent="0.25">
      <c r="A105" s="317"/>
      <c r="C105" s="351"/>
      <c r="D105" s="170" t="s">
        <v>233</v>
      </c>
      <c r="E105" s="54">
        <f ca="1">E104/OFFSET('Calcs - Discounted cash flows'!$C$26, 45, $D$5+1)</f>
        <v>-0.47219033585863007</v>
      </c>
      <c r="F105" s="54" t="e">
        <f ca="1">F104/OFFSET('Calcs - Discounted cash flows'!$C$26, 45, $D$5+2)</f>
        <v>#VALUE!</v>
      </c>
      <c r="G105" s="55">
        <f ca="1">G104/OFFSET('Calcs - Discounted cash flows'!$C$26, 45, $D$5+3)</f>
        <v>-0.46779229650431958</v>
      </c>
    </row>
    <row r="107" spans="1:8" x14ac:dyDescent="0.25">
      <c r="A107" s="61" t="s">
        <v>48</v>
      </c>
    </row>
    <row r="108" spans="1:8" ht="120" customHeight="1" x14ac:dyDescent="0.25">
      <c r="A108" s="315" t="s">
        <v>245</v>
      </c>
      <c r="D108" s="28" t="s">
        <v>246</v>
      </c>
      <c r="E108" s="28" t="s">
        <v>247</v>
      </c>
    </row>
    <row r="109" spans="1:8" ht="135" customHeight="1" x14ac:dyDescent="0.25">
      <c r="A109" s="317"/>
      <c r="D109" s="174" t="e">
        <f ca="1">AVERAGE(E70,E87,F70,F87,G70,G87,E104,F104,G104)</f>
        <v>#VALUE!</v>
      </c>
      <c r="E109" s="175" t="e">
        <f ca="1">AVERAGE(E71,E88,F71,F88,G71,G88,E105,F105,G105)</f>
        <v>#VALUE!</v>
      </c>
    </row>
  </sheetData>
  <mergeCells count="7">
    <mergeCell ref="A108:A109"/>
    <mergeCell ref="E4:E5"/>
    <mergeCell ref="A9:A17"/>
    <mergeCell ref="A56:A105"/>
    <mergeCell ref="C56:C71"/>
    <mergeCell ref="C73:C88"/>
    <mergeCell ref="C90:C10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showInputMessage="1" showErrorMessage="1" xr:uid="{68AC22BB-25D7-417F-9AEE-F25024BF6920}">
          <x14:formula1>
            <xm:f>Inputs!$D$38:$H$38</xm:f>
          </x14:formula1>
          <xm:sqref>D4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A4D8C-AF08-4F87-A937-4D1D2C0250EB}">
  <sheetPr>
    <tabColor theme="1"/>
  </sheetPr>
  <dimension ref="A1"/>
  <sheetViews>
    <sheetView workbookViewId="0">
      <selection activeCell="U29" sqref="U29"/>
    </sheetView>
  </sheetViews>
  <sheetFormatPr defaultRowHeight="15" x14ac:dyDescent="0.25"/>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B7F05-8B9E-4E1F-9333-F516E34641FE}">
  <sheetPr codeName="Sheet9">
    <tabColor rgb="FF9954CC"/>
  </sheetPr>
  <dimension ref="A1:G93"/>
  <sheetViews>
    <sheetView zoomScaleNormal="100" workbookViewId="0">
      <selection activeCell="H6" sqref="H6"/>
    </sheetView>
  </sheetViews>
  <sheetFormatPr defaultRowHeight="15" x14ac:dyDescent="0.25"/>
  <cols>
    <col min="1" max="1" width="30.5703125" customWidth="1"/>
    <col min="2" max="2" width="4.5703125" customWidth="1"/>
    <col min="3" max="3" width="30.5703125" customWidth="1"/>
    <col min="4" max="4" width="30.5703125" style="15" customWidth="1"/>
    <col min="5" max="7" width="30.5703125" style="3" customWidth="1"/>
    <col min="8" max="10" width="30.5703125" customWidth="1"/>
  </cols>
  <sheetData>
    <row r="1" spans="1:7" ht="16.5" thickTop="1" thickBot="1" x14ac:dyDescent="0.3">
      <c r="C1" t="s">
        <v>45</v>
      </c>
      <c r="D1" t="s">
        <v>56</v>
      </c>
      <c r="E1" s="197" t="e">
        <f ca="1">Checks!$D$17</f>
        <v>#VALUE!</v>
      </c>
      <c r="F1" t="s">
        <v>57</v>
      </c>
      <c r="G1" s="197"/>
    </row>
    <row r="2" spans="1:7" ht="18" thickTop="1" x14ac:dyDescent="0.3">
      <c r="C2" s="8" t="s">
        <v>249</v>
      </c>
    </row>
    <row r="3" spans="1:7" x14ac:dyDescent="0.25">
      <c r="A3" s="61" t="s">
        <v>48</v>
      </c>
    </row>
    <row r="4" spans="1:7" ht="87.75" customHeight="1" x14ac:dyDescent="0.25">
      <c r="A4" s="315" t="s">
        <v>250</v>
      </c>
      <c r="C4" s="27" t="s">
        <v>36</v>
      </c>
      <c r="D4" s="176" t="s">
        <v>102</v>
      </c>
      <c r="F4" s="295" t="s">
        <v>251</v>
      </c>
    </row>
    <row r="5" spans="1:7" ht="30" x14ac:dyDescent="0.25">
      <c r="A5" s="316"/>
      <c r="C5" s="126" t="s">
        <v>181</v>
      </c>
      <c r="D5" s="153">
        <f>'Calcs - Price Scenarios'!F18 + 0.05</f>
        <v>1.1179071658456021</v>
      </c>
    </row>
    <row r="6" spans="1:7" ht="30" x14ac:dyDescent="0.25">
      <c r="A6" s="317"/>
      <c r="C6" s="177" t="s">
        <v>182</v>
      </c>
      <c r="D6" s="154">
        <f>1/D5</f>
        <v>0.89452866083346438</v>
      </c>
    </row>
    <row r="7" spans="1:7" x14ac:dyDescent="0.25">
      <c r="A7" s="64"/>
      <c r="C7" s="66"/>
      <c r="D7" s="67"/>
    </row>
    <row r="8" spans="1:7" x14ac:dyDescent="0.25">
      <c r="A8" s="61" t="s">
        <v>48</v>
      </c>
    </row>
    <row r="9" spans="1:7" ht="79.5" customHeight="1" x14ac:dyDescent="0.25">
      <c r="A9" s="315" t="s">
        <v>252</v>
      </c>
      <c r="C9" s="178"/>
      <c r="D9" s="372" t="s">
        <v>253</v>
      </c>
      <c r="E9" s="363"/>
      <c r="F9" s="364"/>
    </row>
    <row r="10" spans="1:7" ht="79.5" customHeight="1" x14ac:dyDescent="0.25">
      <c r="A10" s="316"/>
      <c r="C10" s="60" t="s">
        <v>60</v>
      </c>
      <c r="D10" s="31" t="s">
        <v>242</v>
      </c>
      <c r="E10" s="31" t="s">
        <v>192</v>
      </c>
      <c r="F10" s="32" t="s">
        <v>243</v>
      </c>
    </row>
    <row r="11" spans="1:7" x14ac:dyDescent="0.25">
      <c r="A11" s="316"/>
      <c r="C11" s="89">
        <v>2024</v>
      </c>
      <c r="D11" s="56">
        <f t="shared" ref="D11:D16" si="0">D12*$D$6</f>
        <v>20.606704172834952</v>
      </c>
      <c r="E11" s="82" t="e">
        <f>'Calcs - Price Scenarios'!#REF!*D5*D5</f>
        <v>#REF!</v>
      </c>
      <c r="F11" s="57">
        <f t="shared" ref="F11:F16" si="1">F12*$D$6</f>
        <v>74.184135022205851</v>
      </c>
    </row>
    <row r="12" spans="1:7" x14ac:dyDescent="0.25">
      <c r="A12" s="316"/>
      <c r="C12" s="89">
        <v>2025</v>
      </c>
      <c r="D12" s="56">
        <f t="shared" si="0"/>
        <v>23.036382259272663</v>
      </c>
      <c r="E12" s="56" t="e">
        <f t="shared" ref="E12:E17" si="2">E11*$D$5</f>
        <v>#REF!</v>
      </c>
      <c r="F12" s="57">
        <f t="shared" si="1"/>
        <v>82.93097613338162</v>
      </c>
    </row>
    <row r="13" spans="1:7" x14ac:dyDescent="0.25">
      <c r="A13" s="316"/>
      <c r="C13" s="89">
        <v>2026</v>
      </c>
      <c r="D13" s="56">
        <f t="shared" si="0"/>
        <v>25.752536802799412</v>
      </c>
      <c r="E13" s="56" t="e">
        <f t="shared" si="2"/>
        <v>#REF!</v>
      </c>
      <c r="F13" s="57">
        <f t="shared" si="1"/>
        <v>92.70913249007792</v>
      </c>
    </row>
    <row r="14" spans="1:7" x14ac:dyDescent="0.25">
      <c r="A14" s="316"/>
      <c r="C14" s="89">
        <v>2027</v>
      </c>
      <c r="D14" s="56">
        <f t="shared" si="0"/>
        <v>28.788945430552054</v>
      </c>
      <c r="E14" s="56" t="e">
        <f t="shared" si="2"/>
        <v>#REF!</v>
      </c>
      <c r="F14" s="57">
        <f t="shared" si="1"/>
        <v>103.64020354998743</v>
      </c>
    </row>
    <row r="15" spans="1:7" x14ac:dyDescent="0.25">
      <c r="A15" s="316"/>
      <c r="C15" s="89">
        <v>2028</v>
      </c>
      <c r="D15" s="56">
        <f t="shared" si="0"/>
        <v>32.183368393952144</v>
      </c>
      <c r="E15" s="56" t="e">
        <f t="shared" si="2"/>
        <v>#REF!</v>
      </c>
      <c r="F15" s="57">
        <f t="shared" si="1"/>
        <v>115.86012621822776</v>
      </c>
    </row>
    <row r="16" spans="1:7" x14ac:dyDescent="0.25">
      <c r="A16" s="316"/>
      <c r="C16" s="89">
        <v>2029</v>
      </c>
      <c r="D16" s="56">
        <f t="shared" si="0"/>
        <v>35.978018148647969</v>
      </c>
      <c r="E16" s="56" t="e">
        <f t="shared" si="2"/>
        <v>#REF!</v>
      </c>
      <c r="F16" s="57">
        <f t="shared" si="1"/>
        <v>129.52086533513273</v>
      </c>
    </row>
    <row r="17" spans="1:7" x14ac:dyDescent="0.25">
      <c r="A17" s="317"/>
      <c r="C17" s="90">
        <v>2030</v>
      </c>
      <c r="D17" s="75">
        <f>'Calcs - Price Scenarios'!J7</f>
        <v>40.220084301296687</v>
      </c>
      <c r="E17" s="58" t="e">
        <f t="shared" si="2"/>
        <v>#REF!</v>
      </c>
      <c r="F17" s="59">
        <f>'Calcs - Price Scenarios'!J5</f>
        <v>144.79230348466811</v>
      </c>
    </row>
    <row r="20" spans="1:7" ht="17.25" x14ac:dyDescent="0.3">
      <c r="C20" s="8" t="s">
        <v>254</v>
      </c>
    </row>
    <row r="21" spans="1:7" x14ac:dyDescent="0.25">
      <c r="A21" s="61" t="s">
        <v>48</v>
      </c>
      <c r="F21" s="22"/>
      <c r="G21" s="22"/>
    </row>
    <row r="22" spans="1:7" ht="30" x14ac:dyDescent="0.25">
      <c r="A22" s="315" t="s">
        <v>255</v>
      </c>
      <c r="C22" s="343" t="s">
        <v>61</v>
      </c>
      <c r="D22" s="132" t="s">
        <v>60</v>
      </c>
      <c r="E22" s="71" t="s">
        <v>242</v>
      </c>
      <c r="F22" s="71" t="s">
        <v>192</v>
      </c>
      <c r="G22" s="72" t="s">
        <v>243</v>
      </c>
    </row>
    <row r="23" spans="1:7" x14ac:dyDescent="0.25">
      <c r="A23" s="316"/>
      <c r="C23" s="344"/>
      <c r="D23" s="124">
        <v>2024</v>
      </c>
      <c r="E23" s="104">
        <f>'Calcs - Volume Scenarios'!E33*$D11</f>
        <v>0</v>
      </c>
      <c r="F23" s="104" t="e">
        <f>'Calcs - Volume Scenarios'!E33*$E11</f>
        <v>#REF!</v>
      </c>
      <c r="G23" s="105">
        <f>'Calcs - Volume Scenarios'!E33*$F11</f>
        <v>0</v>
      </c>
    </row>
    <row r="24" spans="1:7" x14ac:dyDescent="0.25">
      <c r="A24" s="316"/>
      <c r="C24" s="344"/>
      <c r="D24" s="89">
        <v>2025</v>
      </c>
      <c r="E24" s="106">
        <f>'Calcs - Volume Scenarios'!E34*$D12</f>
        <v>0</v>
      </c>
      <c r="F24" s="106" t="e">
        <f>'Calcs - Volume Scenarios'!E34*$E12</f>
        <v>#REF!</v>
      </c>
      <c r="G24" s="107">
        <f>'Calcs - Volume Scenarios'!E34*$F12</f>
        <v>0</v>
      </c>
    </row>
    <row r="25" spans="1:7" x14ac:dyDescent="0.25">
      <c r="A25" s="316"/>
      <c r="C25" s="344"/>
      <c r="D25" s="89">
        <v>2026</v>
      </c>
      <c r="E25" s="106">
        <f>'Calcs - Volume Scenarios'!E35*$D13</f>
        <v>0</v>
      </c>
      <c r="F25" s="106" t="e">
        <f>'Calcs - Volume Scenarios'!E35*$E13</f>
        <v>#REF!</v>
      </c>
      <c r="G25" s="107">
        <f>'Calcs - Volume Scenarios'!E35*$F13</f>
        <v>0</v>
      </c>
    </row>
    <row r="26" spans="1:7" x14ac:dyDescent="0.25">
      <c r="A26" s="316"/>
      <c r="C26" s="344"/>
      <c r="D26" s="89">
        <v>2027</v>
      </c>
      <c r="E26" s="106">
        <f>'Calcs - Volume Scenarios'!E36*$D14</f>
        <v>0</v>
      </c>
      <c r="F26" s="106" t="e">
        <f>'Calcs - Volume Scenarios'!E36*$E14</f>
        <v>#REF!</v>
      </c>
      <c r="G26" s="107">
        <f>'Calcs - Volume Scenarios'!E36*$F14</f>
        <v>0</v>
      </c>
    </row>
    <row r="27" spans="1:7" x14ac:dyDescent="0.25">
      <c r="A27" s="316"/>
      <c r="C27" s="344"/>
      <c r="D27" s="89">
        <v>2028</v>
      </c>
      <c r="E27" s="106">
        <f>'Calcs - Volume Scenarios'!E37*$D15</f>
        <v>0</v>
      </c>
      <c r="F27" s="106" t="e">
        <f>'Calcs - Volume Scenarios'!E37*$E15</f>
        <v>#REF!</v>
      </c>
      <c r="G27" s="107">
        <f>'Calcs - Volume Scenarios'!E37*$F15</f>
        <v>0</v>
      </c>
    </row>
    <row r="28" spans="1:7" x14ac:dyDescent="0.25">
      <c r="A28" s="316"/>
      <c r="C28" s="344"/>
      <c r="D28" s="89">
        <v>2029</v>
      </c>
      <c r="E28" s="106">
        <f>'Calcs - Volume Scenarios'!E38*$D16</f>
        <v>0</v>
      </c>
      <c r="F28" s="106" t="e">
        <f>'Calcs - Volume Scenarios'!E38*$E16</f>
        <v>#REF!</v>
      </c>
      <c r="G28" s="107">
        <f>'Calcs - Volume Scenarios'!E38*$F16</f>
        <v>0</v>
      </c>
    </row>
    <row r="29" spans="1:7" x14ac:dyDescent="0.25">
      <c r="A29" s="316"/>
      <c r="C29" s="344"/>
      <c r="D29" s="90">
        <v>2030</v>
      </c>
      <c r="E29" s="108">
        <f>'Calcs - Volume Scenarios'!E39*$D17</f>
        <v>0</v>
      </c>
      <c r="F29" s="108" t="e">
        <f>'Calcs - Volume Scenarios'!E39*$E17</f>
        <v>#REF!</v>
      </c>
      <c r="G29" s="109">
        <f>'Calcs - Volume Scenarios'!E39*$F17</f>
        <v>0</v>
      </c>
    </row>
    <row r="30" spans="1:7" x14ac:dyDescent="0.25">
      <c r="A30" s="316"/>
      <c r="C30" s="345"/>
      <c r="D30" s="18" t="s">
        <v>193</v>
      </c>
      <c r="E30" s="102">
        <f>SUM(E23:E29)</f>
        <v>0</v>
      </c>
      <c r="F30" s="102" t="e">
        <f>SUM(F23:F29)</f>
        <v>#REF!</v>
      </c>
      <c r="G30" s="103">
        <f>SUM(G23:G29)</f>
        <v>0</v>
      </c>
    </row>
    <row r="31" spans="1:7" x14ac:dyDescent="0.25">
      <c r="A31" s="316"/>
    </row>
    <row r="32" spans="1:7" ht="30" x14ac:dyDescent="0.25">
      <c r="A32" s="316"/>
      <c r="C32" s="346" t="s">
        <v>146</v>
      </c>
      <c r="D32" s="132" t="s">
        <v>60</v>
      </c>
      <c r="E32" s="74" t="s">
        <v>242</v>
      </c>
      <c r="F32" s="74" t="s">
        <v>192</v>
      </c>
      <c r="G32" s="73" t="s">
        <v>243</v>
      </c>
    </row>
    <row r="33" spans="1:7" x14ac:dyDescent="0.25">
      <c r="A33" s="316"/>
      <c r="C33" s="347"/>
      <c r="D33" s="124">
        <v>2024</v>
      </c>
      <c r="E33" s="104">
        <f>'Calcs - Volume Scenarios'!F33*$D11</f>
        <v>0</v>
      </c>
      <c r="F33" s="104" t="e">
        <f>'Calcs - Volume Scenarios'!F33*$E11</f>
        <v>#REF!</v>
      </c>
      <c r="G33" s="105">
        <f>'Calcs - Volume Scenarios'!F33*$F11</f>
        <v>0</v>
      </c>
    </row>
    <row r="34" spans="1:7" x14ac:dyDescent="0.25">
      <c r="A34" s="316"/>
      <c r="C34" s="347"/>
      <c r="D34" s="89">
        <v>2025</v>
      </c>
      <c r="E34" s="106">
        <f>'Calcs - Volume Scenarios'!F34*$D12</f>
        <v>0</v>
      </c>
      <c r="F34" s="106" t="e">
        <f>'Calcs - Volume Scenarios'!F34*$E12</f>
        <v>#REF!</v>
      </c>
      <c r="G34" s="107">
        <f>'Calcs - Volume Scenarios'!F34*$F12</f>
        <v>0</v>
      </c>
    </row>
    <row r="35" spans="1:7" x14ac:dyDescent="0.25">
      <c r="A35" s="316"/>
      <c r="C35" s="347"/>
      <c r="D35" s="89">
        <v>2026</v>
      </c>
      <c r="E35" s="106">
        <f>'Calcs - Volume Scenarios'!F35*$D13</f>
        <v>0</v>
      </c>
      <c r="F35" s="106" t="e">
        <f>'Calcs - Volume Scenarios'!F35*$E13</f>
        <v>#REF!</v>
      </c>
      <c r="G35" s="107">
        <f>'Calcs - Volume Scenarios'!F35*$F13</f>
        <v>0</v>
      </c>
    </row>
    <row r="36" spans="1:7" x14ac:dyDescent="0.25">
      <c r="A36" s="316"/>
      <c r="C36" s="347"/>
      <c r="D36" s="89">
        <v>2027</v>
      </c>
      <c r="E36" s="106">
        <f>'Calcs - Volume Scenarios'!F36*$D14</f>
        <v>0</v>
      </c>
      <c r="F36" s="106" t="e">
        <f>'Calcs - Volume Scenarios'!F36*$E14</f>
        <v>#REF!</v>
      </c>
      <c r="G36" s="107">
        <f>'Calcs - Volume Scenarios'!F36*$F14</f>
        <v>0</v>
      </c>
    </row>
    <row r="37" spans="1:7" x14ac:dyDescent="0.25">
      <c r="A37" s="316"/>
      <c r="C37" s="347"/>
      <c r="D37" s="89">
        <v>2028</v>
      </c>
      <c r="E37" s="106">
        <f>'Calcs - Volume Scenarios'!F37*$D15</f>
        <v>0</v>
      </c>
      <c r="F37" s="106" t="e">
        <f>'Calcs - Volume Scenarios'!F37*$E15</f>
        <v>#REF!</v>
      </c>
      <c r="G37" s="107">
        <f>'Calcs - Volume Scenarios'!F37*$F15</f>
        <v>0</v>
      </c>
    </row>
    <row r="38" spans="1:7" x14ac:dyDescent="0.25">
      <c r="A38" s="316"/>
      <c r="C38" s="347"/>
      <c r="D38" s="89">
        <v>2029</v>
      </c>
      <c r="E38" s="106">
        <f>'Calcs - Volume Scenarios'!F38*$D16</f>
        <v>0</v>
      </c>
      <c r="F38" s="106" t="e">
        <f>'Calcs - Volume Scenarios'!F38*$E16</f>
        <v>#REF!</v>
      </c>
      <c r="G38" s="107">
        <f>'Calcs - Volume Scenarios'!F38*$F16</f>
        <v>0</v>
      </c>
    </row>
    <row r="39" spans="1:7" x14ac:dyDescent="0.25">
      <c r="A39" s="316"/>
      <c r="C39" s="347"/>
      <c r="D39" s="90">
        <v>2030</v>
      </c>
      <c r="E39" s="108">
        <f>'Calcs - Volume Scenarios'!F39*$D17</f>
        <v>0</v>
      </c>
      <c r="F39" s="108" t="e">
        <f>'Calcs - Volume Scenarios'!F39*$E17</f>
        <v>#REF!</v>
      </c>
      <c r="G39" s="109">
        <f>'Calcs - Volume Scenarios'!F39*$F17</f>
        <v>0</v>
      </c>
    </row>
    <row r="40" spans="1:7" x14ac:dyDescent="0.25">
      <c r="A40" s="316"/>
      <c r="C40" s="348"/>
      <c r="D40" s="18" t="s">
        <v>193</v>
      </c>
      <c r="E40" s="102">
        <f>SUM(E33:E39)</f>
        <v>0</v>
      </c>
      <c r="F40" s="102" t="e">
        <f>SUM(F33:F39)</f>
        <v>#REF!</v>
      </c>
      <c r="G40" s="103">
        <f>SUM(G33:G39)</f>
        <v>0</v>
      </c>
    </row>
    <row r="41" spans="1:7" x14ac:dyDescent="0.25">
      <c r="A41" s="316"/>
    </row>
    <row r="42" spans="1:7" ht="30" x14ac:dyDescent="0.25">
      <c r="A42" s="316"/>
      <c r="C42" s="349" t="s">
        <v>63</v>
      </c>
      <c r="D42" s="132" t="s">
        <v>60</v>
      </c>
      <c r="E42" s="74" t="s">
        <v>242</v>
      </c>
      <c r="F42" s="74" t="s">
        <v>192</v>
      </c>
      <c r="G42" s="73" t="s">
        <v>243</v>
      </c>
    </row>
    <row r="43" spans="1:7" x14ac:dyDescent="0.25">
      <c r="A43" s="316"/>
      <c r="C43" s="350"/>
      <c r="D43" s="124">
        <v>2024</v>
      </c>
      <c r="E43" s="104">
        <f>'Calcs - Volume Scenarios'!G33*$D11</f>
        <v>0</v>
      </c>
      <c r="F43" s="104" t="e">
        <f>'Calcs - Volume Scenarios'!G33*$E11</f>
        <v>#REF!</v>
      </c>
      <c r="G43" s="105">
        <f>'Calcs - Volume Scenarios'!G33*$F11</f>
        <v>0</v>
      </c>
    </row>
    <row r="44" spans="1:7" x14ac:dyDescent="0.25">
      <c r="A44" s="316"/>
      <c r="C44" s="350"/>
      <c r="D44" s="89">
        <v>2025</v>
      </c>
      <c r="E44" s="106">
        <f>'Calcs - Volume Scenarios'!G34*$D12</f>
        <v>0</v>
      </c>
      <c r="F44" s="106" t="e">
        <f>'Calcs - Volume Scenarios'!G34*$E12</f>
        <v>#REF!</v>
      </c>
      <c r="G44" s="107">
        <f>'Calcs - Volume Scenarios'!G34*$F12</f>
        <v>0</v>
      </c>
    </row>
    <row r="45" spans="1:7" x14ac:dyDescent="0.25">
      <c r="A45" s="316"/>
      <c r="C45" s="350"/>
      <c r="D45" s="89">
        <v>2026</v>
      </c>
      <c r="E45" s="106">
        <f>'Calcs - Volume Scenarios'!G35*$D13</f>
        <v>0</v>
      </c>
      <c r="F45" s="106" t="e">
        <f>'Calcs - Volume Scenarios'!G35*$E13</f>
        <v>#REF!</v>
      </c>
      <c r="G45" s="107">
        <f>'Calcs - Volume Scenarios'!G35*$F13</f>
        <v>0</v>
      </c>
    </row>
    <row r="46" spans="1:7" x14ac:dyDescent="0.25">
      <c r="A46" s="316"/>
      <c r="C46" s="350"/>
      <c r="D46" s="89">
        <v>2027</v>
      </c>
      <c r="E46" s="106">
        <f>'Calcs - Volume Scenarios'!G36*$D14</f>
        <v>0</v>
      </c>
      <c r="F46" s="106" t="e">
        <f>'Calcs - Volume Scenarios'!G36*$E14</f>
        <v>#REF!</v>
      </c>
      <c r="G46" s="107">
        <f>'Calcs - Volume Scenarios'!G36*$F14</f>
        <v>0</v>
      </c>
    </row>
    <row r="47" spans="1:7" x14ac:dyDescent="0.25">
      <c r="A47" s="316"/>
      <c r="C47" s="350"/>
      <c r="D47" s="89">
        <v>2028</v>
      </c>
      <c r="E47" s="106">
        <f>'Calcs - Volume Scenarios'!G37*$D15</f>
        <v>0</v>
      </c>
      <c r="F47" s="106" t="e">
        <f>'Calcs - Volume Scenarios'!G37*$E15</f>
        <v>#REF!</v>
      </c>
      <c r="G47" s="107">
        <f>'Calcs - Volume Scenarios'!G37*$F15</f>
        <v>0</v>
      </c>
    </row>
    <row r="48" spans="1:7" x14ac:dyDescent="0.25">
      <c r="A48" s="316"/>
      <c r="C48" s="350"/>
      <c r="D48" s="89">
        <v>2029</v>
      </c>
      <c r="E48" s="106">
        <f>'Calcs - Volume Scenarios'!G38*$D16</f>
        <v>0</v>
      </c>
      <c r="F48" s="106" t="e">
        <f>'Calcs - Volume Scenarios'!G38*$E16</f>
        <v>#REF!</v>
      </c>
      <c r="G48" s="107">
        <f>'Calcs - Volume Scenarios'!G38*$F16</f>
        <v>0</v>
      </c>
    </row>
    <row r="49" spans="1:7" x14ac:dyDescent="0.25">
      <c r="A49" s="316"/>
      <c r="C49" s="350"/>
      <c r="D49" s="90">
        <v>2030</v>
      </c>
      <c r="E49" s="108">
        <f>'Calcs - Volume Scenarios'!G39*$D17</f>
        <v>0</v>
      </c>
      <c r="F49" s="108" t="e">
        <f>'Calcs - Volume Scenarios'!G39*$E17</f>
        <v>#REF!</v>
      </c>
      <c r="G49" s="109">
        <f>'Calcs - Volume Scenarios'!G39*$F17</f>
        <v>0</v>
      </c>
    </row>
    <row r="50" spans="1:7" x14ac:dyDescent="0.25">
      <c r="A50" s="317"/>
      <c r="C50" s="351"/>
      <c r="D50" s="18" t="s">
        <v>193</v>
      </c>
      <c r="E50" s="102">
        <f t="shared" ref="E50" si="3">SUM(E43:E49)</f>
        <v>0</v>
      </c>
      <c r="F50" s="102" t="e">
        <f t="shared" ref="F50" si="4">SUM(F43:F49)</f>
        <v>#REF!</v>
      </c>
      <c r="G50" s="103">
        <f t="shared" ref="G50" si="5">SUM(G43:G49)</f>
        <v>0</v>
      </c>
    </row>
    <row r="53" spans="1:7" ht="17.25" x14ac:dyDescent="0.3">
      <c r="C53" s="8" t="s">
        <v>256</v>
      </c>
    </row>
    <row r="54" spans="1:7" x14ac:dyDescent="0.25">
      <c r="A54" s="61" t="s">
        <v>48</v>
      </c>
      <c r="E54"/>
      <c r="F54"/>
      <c r="G54"/>
    </row>
    <row r="55" spans="1:7" ht="30" x14ac:dyDescent="0.25">
      <c r="A55" s="315" t="s">
        <v>257</v>
      </c>
      <c r="C55" s="346" t="s">
        <v>242</v>
      </c>
      <c r="D55" s="132" t="s">
        <v>60</v>
      </c>
      <c r="E55" s="24" t="s">
        <v>61</v>
      </c>
      <c r="F55" s="39" t="s">
        <v>146</v>
      </c>
      <c r="G55" s="40" t="s">
        <v>63</v>
      </c>
    </row>
    <row r="56" spans="1:7" x14ac:dyDescent="0.25">
      <c r="A56" s="316"/>
      <c r="C56" s="347"/>
      <c r="D56" s="124">
        <v>2024</v>
      </c>
      <c r="E56" s="111">
        <f>E23*'Calcs - Discounted cash flows'!$E8</f>
        <v>0</v>
      </c>
      <c r="F56" s="111">
        <f>E33*'Calcs - Discounted cash flows'!$E8</f>
        <v>0</v>
      </c>
      <c r="G56" s="112">
        <f>E43*'Calcs - Discounted cash flows'!$E8</f>
        <v>0</v>
      </c>
    </row>
    <row r="57" spans="1:7" x14ac:dyDescent="0.25">
      <c r="A57" s="316"/>
      <c r="C57" s="347"/>
      <c r="D57" s="89">
        <v>2025</v>
      </c>
      <c r="E57" s="113">
        <f>E24*'Calcs - Discounted cash flows'!$E9</f>
        <v>0</v>
      </c>
      <c r="F57" s="113">
        <f>E34*'Calcs - Discounted cash flows'!$E9</f>
        <v>0</v>
      </c>
      <c r="G57" s="114">
        <f>E44*'Calcs - Discounted cash flows'!$E9</f>
        <v>0</v>
      </c>
    </row>
    <row r="58" spans="1:7" x14ac:dyDescent="0.25">
      <c r="A58" s="316"/>
      <c r="C58" s="347"/>
      <c r="D58" s="89">
        <v>2026</v>
      </c>
      <c r="E58" s="113">
        <f>E25*'Calcs - Discounted cash flows'!$E15</f>
        <v>0</v>
      </c>
      <c r="F58" s="113">
        <f>E35*'Calcs - Discounted cash flows'!$E15</f>
        <v>0</v>
      </c>
      <c r="G58" s="114">
        <f>E45*'Calcs - Discounted cash flows'!$E15</f>
        <v>0</v>
      </c>
    </row>
    <row r="59" spans="1:7" x14ac:dyDescent="0.25">
      <c r="A59" s="316"/>
      <c r="C59" s="347"/>
      <c r="D59" s="89">
        <v>2027</v>
      </c>
      <c r="E59" s="113">
        <f>E26*'Calcs - Discounted cash flows'!$E16</f>
        <v>0</v>
      </c>
      <c r="F59" s="113">
        <f>E36*'Calcs - Discounted cash flows'!$E16</f>
        <v>0</v>
      </c>
      <c r="G59" s="114">
        <f>E46*'Calcs - Discounted cash flows'!$E16</f>
        <v>0</v>
      </c>
    </row>
    <row r="60" spans="1:7" x14ac:dyDescent="0.25">
      <c r="A60" s="316"/>
      <c r="C60" s="347"/>
      <c r="D60" s="89">
        <v>2028</v>
      </c>
      <c r="E60" s="113">
        <f>E27*'Calcs - Discounted cash flows'!$E17</f>
        <v>0</v>
      </c>
      <c r="F60" s="113">
        <f>E37*'Calcs - Discounted cash flows'!$E17</f>
        <v>0</v>
      </c>
      <c r="G60" s="114">
        <f>E47*'Calcs - Discounted cash flows'!$E17</f>
        <v>0</v>
      </c>
    </row>
    <row r="61" spans="1:7" x14ac:dyDescent="0.25">
      <c r="A61" s="316"/>
      <c r="C61" s="347"/>
      <c r="D61" s="89">
        <v>2029</v>
      </c>
      <c r="E61" s="113">
        <f>E28*'Calcs - Discounted cash flows'!$E18</f>
        <v>0</v>
      </c>
      <c r="F61" s="113">
        <f>E38*'Calcs - Discounted cash flows'!$E18</f>
        <v>0</v>
      </c>
      <c r="G61" s="114">
        <f>E48*'Calcs - Discounted cash flows'!$E18</f>
        <v>0</v>
      </c>
    </row>
    <row r="62" spans="1:7" x14ac:dyDescent="0.25">
      <c r="A62" s="316"/>
      <c r="C62" s="347"/>
      <c r="D62" s="90">
        <v>2030</v>
      </c>
      <c r="E62" s="115">
        <f>E29*'Calcs - Discounted cash flows'!$E19</f>
        <v>0</v>
      </c>
      <c r="F62" s="115">
        <f>E39*'Calcs - Discounted cash flows'!$E19</f>
        <v>0</v>
      </c>
      <c r="G62" s="116">
        <f>E49*'Calcs - Discounted cash flows'!$E19</f>
        <v>0</v>
      </c>
    </row>
    <row r="63" spans="1:7" x14ac:dyDescent="0.25">
      <c r="A63" s="316"/>
      <c r="C63" s="347"/>
      <c r="D63" s="155" t="s">
        <v>193</v>
      </c>
      <c r="E63" s="111">
        <f>SUM(E56:E62)</f>
        <v>0</v>
      </c>
      <c r="F63" s="111">
        <f>SUM(F56:F62)</f>
        <v>0</v>
      </c>
      <c r="G63" s="112">
        <f t="shared" ref="G63" si="6">SUM(G56:G62)</f>
        <v>0</v>
      </c>
    </row>
    <row r="64" spans="1:7" x14ac:dyDescent="0.25">
      <c r="A64" s="316"/>
      <c r="C64" s="347"/>
      <c r="D64" s="169" t="s">
        <v>232</v>
      </c>
      <c r="E64" s="113">
        <f>E63-'Calcs - Discounted cash flows'!E41</f>
        <v>0</v>
      </c>
      <c r="F64" s="113">
        <f>F63-'Calcs - Discounted cash flows'!E56</f>
        <v>0</v>
      </c>
      <c r="G64" s="114">
        <f>G63-'Calcs - Discounted cash flows'!E71</f>
        <v>0</v>
      </c>
    </row>
    <row r="65" spans="1:7" x14ac:dyDescent="0.25">
      <c r="A65" s="316"/>
      <c r="C65" s="348"/>
      <c r="D65" s="170" t="s">
        <v>233</v>
      </c>
      <c r="E65" s="54" t="e">
        <f>E64/'Calcs - Discounted cash flows'!E41</f>
        <v>#DIV/0!</v>
      </c>
      <c r="F65" s="54" t="e">
        <f>F64/'Calcs - Discounted cash flows'!E56</f>
        <v>#DIV/0!</v>
      </c>
      <c r="G65" s="55" t="e">
        <f>G64/'Calcs - Discounted cash flows'!E71</f>
        <v>#DIV/0!</v>
      </c>
    </row>
    <row r="66" spans="1:7" x14ac:dyDescent="0.25">
      <c r="A66" s="316"/>
    </row>
    <row r="67" spans="1:7" ht="30" x14ac:dyDescent="0.25">
      <c r="A67" s="316"/>
      <c r="C67" s="346" t="s">
        <v>192</v>
      </c>
      <c r="D67" s="132" t="s">
        <v>60</v>
      </c>
      <c r="E67" s="24" t="s">
        <v>61</v>
      </c>
      <c r="F67" s="39" t="s">
        <v>146</v>
      </c>
      <c r="G67" s="40" t="s">
        <v>63</v>
      </c>
    </row>
    <row r="68" spans="1:7" x14ac:dyDescent="0.25">
      <c r="A68" s="316"/>
      <c r="C68" s="347"/>
      <c r="D68" s="124">
        <v>2024</v>
      </c>
      <c r="E68" s="111" t="e">
        <f>F23*'Calcs - Discounted cash flows'!$E8</f>
        <v>#REF!</v>
      </c>
      <c r="F68" s="111" t="e">
        <f>F33*'Calcs - Discounted cash flows'!$E8</f>
        <v>#REF!</v>
      </c>
      <c r="G68" s="112" t="e">
        <f>F43*'Calcs - Discounted cash flows'!$E8</f>
        <v>#REF!</v>
      </c>
    </row>
    <row r="69" spans="1:7" x14ac:dyDescent="0.25">
      <c r="A69" s="316"/>
      <c r="C69" s="347"/>
      <c r="D69" s="89">
        <v>2025</v>
      </c>
      <c r="E69" s="113" t="e">
        <f>F24*'Calcs - Discounted cash flows'!$E9</f>
        <v>#REF!</v>
      </c>
      <c r="F69" s="113" t="e">
        <f>F34*'Calcs - Discounted cash flows'!$E9</f>
        <v>#REF!</v>
      </c>
      <c r="G69" s="114" t="e">
        <f>F44*'Calcs - Discounted cash flows'!$E9</f>
        <v>#REF!</v>
      </c>
    </row>
    <row r="70" spans="1:7" x14ac:dyDescent="0.25">
      <c r="A70" s="316"/>
      <c r="C70" s="347"/>
      <c r="D70" s="89">
        <v>2026</v>
      </c>
      <c r="E70" s="113" t="e">
        <f>F25*'Calcs - Discounted cash flows'!$E15</f>
        <v>#REF!</v>
      </c>
      <c r="F70" s="113" t="e">
        <f>F35*'Calcs - Discounted cash flows'!$E15</f>
        <v>#REF!</v>
      </c>
      <c r="G70" s="114" t="e">
        <f>F45*'Calcs - Discounted cash flows'!$E15</f>
        <v>#REF!</v>
      </c>
    </row>
    <row r="71" spans="1:7" x14ac:dyDescent="0.25">
      <c r="A71" s="316"/>
      <c r="C71" s="347"/>
      <c r="D71" s="89">
        <v>2027</v>
      </c>
      <c r="E71" s="113" t="e">
        <f>F26*'Calcs - Discounted cash flows'!$E16</f>
        <v>#REF!</v>
      </c>
      <c r="F71" s="113" t="e">
        <f>F36*'Calcs - Discounted cash flows'!$E16</f>
        <v>#REF!</v>
      </c>
      <c r="G71" s="114" t="e">
        <f>F46*'Calcs - Discounted cash flows'!$E16</f>
        <v>#REF!</v>
      </c>
    </row>
    <row r="72" spans="1:7" x14ac:dyDescent="0.25">
      <c r="A72" s="316"/>
      <c r="C72" s="347"/>
      <c r="D72" s="89">
        <v>2028</v>
      </c>
      <c r="E72" s="113" t="e">
        <f>F27*'Calcs - Discounted cash flows'!$E17</f>
        <v>#REF!</v>
      </c>
      <c r="F72" s="113" t="e">
        <f>F37*'Calcs - Discounted cash flows'!$E17</f>
        <v>#REF!</v>
      </c>
      <c r="G72" s="114" t="e">
        <f>F47*'Calcs - Discounted cash flows'!$E17</f>
        <v>#REF!</v>
      </c>
    </row>
    <row r="73" spans="1:7" x14ac:dyDescent="0.25">
      <c r="A73" s="316"/>
      <c r="C73" s="347"/>
      <c r="D73" s="89">
        <v>2029</v>
      </c>
      <c r="E73" s="113" t="e">
        <f>F28*'Calcs - Discounted cash flows'!$E18</f>
        <v>#REF!</v>
      </c>
      <c r="F73" s="113" t="e">
        <f>F38*'Calcs - Discounted cash flows'!$E18</f>
        <v>#REF!</v>
      </c>
      <c r="G73" s="114" t="e">
        <f>F48*'Calcs - Discounted cash flows'!$E18</f>
        <v>#REF!</v>
      </c>
    </row>
    <row r="74" spans="1:7" x14ac:dyDescent="0.25">
      <c r="A74" s="316"/>
      <c r="C74" s="347"/>
      <c r="D74" s="90">
        <v>2030</v>
      </c>
      <c r="E74" s="115" t="e">
        <f>F29*'Calcs - Discounted cash flows'!$E19</f>
        <v>#REF!</v>
      </c>
      <c r="F74" s="115" t="e">
        <f>F39*'Calcs - Discounted cash flows'!$E19</f>
        <v>#REF!</v>
      </c>
      <c r="G74" s="116" t="e">
        <f>F49*'Calcs - Discounted cash flows'!$E19</f>
        <v>#REF!</v>
      </c>
    </row>
    <row r="75" spans="1:7" x14ac:dyDescent="0.25">
      <c r="A75" s="316"/>
      <c r="C75" s="347"/>
      <c r="D75" s="155" t="s">
        <v>193</v>
      </c>
      <c r="E75" s="111" t="e">
        <f>SUM(E68:E74)</f>
        <v>#REF!</v>
      </c>
      <c r="F75" s="111" t="e">
        <f>SUM(F68:F74)</f>
        <v>#REF!</v>
      </c>
      <c r="G75" s="112" t="e">
        <f t="shared" ref="G75" si="7">SUM(G68:G74)</f>
        <v>#REF!</v>
      </c>
    </row>
    <row r="76" spans="1:7" x14ac:dyDescent="0.25">
      <c r="A76" s="316"/>
      <c r="C76" s="347"/>
      <c r="D76" s="169" t="s">
        <v>232</v>
      </c>
      <c r="E76" s="113" t="e">
        <f>E75-'Calcs - Discounted cash flows'!F41</f>
        <v>#REF!</v>
      </c>
      <c r="F76" s="113" t="e">
        <f>F75-'Calcs - Discounted cash flows'!F56</f>
        <v>#REF!</v>
      </c>
      <c r="G76" s="114" t="e">
        <f>G75-'Calcs - Discounted cash flows'!F71</f>
        <v>#REF!</v>
      </c>
    </row>
    <row r="77" spans="1:7" x14ac:dyDescent="0.25">
      <c r="A77" s="316"/>
      <c r="C77" s="348"/>
      <c r="D77" s="170" t="s">
        <v>233</v>
      </c>
      <c r="E77" s="54" t="e">
        <f>E76/'Calcs - Discounted cash flows'!F41</f>
        <v>#REF!</v>
      </c>
      <c r="F77" s="54" t="e">
        <f>F76/'Calcs - Discounted cash flows'!F56</f>
        <v>#REF!</v>
      </c>
      <c r="G77" s="55" t="e">
        <f>G76/'Calcs - Discounted cash flows'!F71</f>
        <v>#REF!</v>
      </c>
    </row>
    <row r="78" spans="1:7" x14ac:dyDescent="0.25">
      <c r="A78" s="316"/>
    </row>
    <row r="79" spans="1:7" ht="30" x14ac:dyDescent="0.25">
      <c r="A79" s="316"/>
      <c r="C79" s="346" t="s">
        <v>243</v>
      </c>
      <c r="D79" s="132" t="s">
        <v>60</v>
      </c>
      <c r="E79" s="24" t="s">
        <v>61</v>
      </c>
      <c r="F79" s="39" t="s">
        <v>146</v>
      </c>
      <c r="G79" s="40" t="s">
        <v>63</v>
      </c>
    </row>
    <row r="80" spans="1:7" x14ac:dyDescent="0.25">
      <c r="A80" s="316"/>
      <c r="C80" s="347"/>
      <c r="D80" s="124">
        <v>2024</v>
      </c>
      <c r="E80" s="111">
        <f>G23*'Calcs - Discounted cash flows'!$E8</f>
        <v>0</v>
      </c>
      <c r="F80" s="111">
        <f>G33*'Calcs - Discounted cash flows'!$E8</f>
        <v>0</v>
      </c>
      <c r="G80" s="112">
        <f>G43*'Calcs - Discounted cash flows'!$E8</f>
        <v>0</v>
      </c>
    </row>
    <row r="81" spans="1:7" x14ac:dyDescent="0.25">
      <c r="A81" s="316"/>
      <c r="C81" s="347"/>
      <c r="D81" s="89">
        <v>2025</v>
      </c>
      <c r="E81" s="113">
        <f>G24*'Calcs - Discounted cash flows'!$E9</f>
        <v>0</v>
      </c>
      <c r="F81" s="113">
        <f>G34*'Calcs - Discounted cash flows'!$E9</f>
        <v>0</v>
      </c>
      <c r="G81" s="114">
        <f>G44*'Calcs - Discounted cash flows'!$E9</f>
        <v>0</v>
      </c>
    </row>
    <row r="82" spans="1:7" x14ac:dyDescent="0.25">
      <c r="A82" s="316"/>
      <c r="C82" s="347"/>
      <c r="D82" s="89">
        <v>2026</v>
      </c>
      <c r="E82" s="113">
        <f>G25*'Calcs - Discounted cash flows'!$E15</f>
        <v>0</v>
      </c>
      <c r="F82" s="113">
        <f>G35*'Calcs - Discounted cash flows'!$E15</f>
        <v>0</v>
      </c>
      <c r="G82" s="114">
        <f>G45*'Calcs - Discounted cash flows'!$E15</f>
        <v>0</v>
      </c>
    </row>
    <row r="83" spans="1:7" x14ac:dyDescent="0.25">
      <c r="A83" s="316"/>
      <c r="C83" s="347"/>
      <c r="D83" s="89">
        <v>2027</v>
      </c>
      <c r="E83" s="113">
        <f>G26*'Calcs - Discounted cash flows'!$E16</f>
        <v>0</v>
      </c>
      <c r="F83" s="113">
        <f>G36*'Calcs - Discounted cash flows'!$E16</f>
        <v>0</v>
      </c>
      <c r="G83" s="114">
        <f>G46*'Calcs - Discounted cash flows'!$E16</f>
        <v>0</v>
      </c>
    </row>
    <row r="84" spans="1:7" x14ac:dyDescent="0.25">
      <c r="A84" s="316"/>
      <c r="C84" s="347"/>
      <c r="D84" s="89">
        <v>2028</v>
      </c>
      <c r="E84" s="113">
        <f>G27*'Calcs - Discounted cash flows'!$E17</f>
        <v>0</v>
      </c>
      <c r="F84" s="113">
        <f>G37*'Calcs - Discounted cash flows'!$E17</f>
        <v>0</v>
      </c>
      <c r="G84" s="114">
        <f>G47*'Calcs - Discounted cash flows'!$E17</f>
        <v>0</v>
      </c>
    </row>
    <row r="85" spans="1:7" x14ac:dyDescent="0.25">
      <c r="A85" s="316"/>
      <c r="C85" s="347"/>
      <c r="D85" s="89">
        <v>2029</v>
      </c>
      <c r="E85" s="113">
        <f>G28*'Calcs - Discounted cash flows'!$E18</f>
        <v>0</v>
      </c>
      <c r="F85" s="113">
        <f>G38*'Calcs - Discounted cash flows'!$E18</f>
        <v>0</v>
      </c>
      <c r="G85" s="114">
        <f>G48*'Calcs - Discounted cash flows'!$E18</f>
        <v>0</v>
      </c>
    </row>
    <row r="86" spans="1:7" x14ac:dyDescent="0.25">
      <c r="A86" s="316"/>
      <c r="C86" s="347"/>
      <c r="D86" s="90">
        <v>2030</v>
      </c>
      <c r="E86" s="115">
        <f>G29*'Calcs - Discounted cash flows'!$E19</f>
        <v>0</v>
      </c>
      <c r="F86" s="115">
        <f>G39*'Calcs - Discounted cash flows'!$E19</f>
        <v>0</v>
      </c>
      <c r="G86" s="116">
        <f>G49*'Calcs - Discounted cash flows'!$E19</f>
        <v>0</v>
      </c>
    </row>
    <row r="87" spans="1:7" x14ac:dyDescent="0.25">
      <c r="A87" s="316"/>
      <c r="C87" s="347"/>
      <c r="D87" s="155" t="s">
        <v>193</v>
      </c>
      <c r="E87" s="111">
        <f>SUM(E80:E86)</f>
        <v>0</v>
      </c>
      <c r="F87" s="111">
        <f>SUM(F80:F86)</f>
        <v>0</v>
      </c>
      <c r="G87" s="112">
        <f t="shared" ref="G87" si="8">SUM(G80:G86)</f>
        <v>0</v>
      </c>
    </row>
    <row r="88" spans="1:7" x14ac:dyDescent="0.25">
      <c r="A88" s="316"/>
      <c r="C88" s="347"/>
      <c r="D88" s="169" t="s">
        <v>232</v>
      </c>
      <c r="E88" s="113">
        <f>E87-'Calcs - Discounted cash flows'!G41</f>
        <v>0</v>
      </c>
      <c r="F88" s="113">
        <f>F87-'Calcs - Discounted cash flows'!G56</f>
        <v>0</v>
      </c>
      <c r="G88" s="114">
        <f>G87-'Calcs - Discounted cash flows'!G71</f>
        <v>0</v>
      </c>
    </row>
    <row r="89" spans="1:7" x14ac:dyDescent="0.25">
      <c r="A89" s="317"/>
      <c r="C89" s="348"/>
      <c r="D89" s="170" t="s">
        <v>233</v>
      </c>
      <c r="E89" s="54" t="e">
        <f>E88/'Calcs - Discounted cash flows'!G41</f>
        <v>#DIV/0!</v>
      </c>
      <c r="F89" s="54" t="e">
        <f>F88/'Calcs - Discounted cash flows'!G56</f>
        <v>#DIV/0!</v>
      </c>
      <c r="G89" s="55" t="e">
        <f>G88/'Calcs - Discounted cash flows'!G71</f>
        <v>#DIV/0!</v>
      </c>
    </row>
    <row r="91" spans="1:7" x14ac:dyDescent="0.25">
      <c r="A91" s="61" t="s">
        <v>48</v>
      </c>
    </row>
    <row r="92" spans="1:7" ht="143.25" customHeight="1" x14ac:dyDescent="0.25">
      <c r="A92" s="315" t="s">
        <v>258</v>
      </c>
      <c r="D92" s="28" t="s">
        <v>246</v>
      </c>
      <c r="E92" s="28" t="s">
        <v>247</v>
      </c>
    </row>
    <row r="93" spans="1:7" ht="134.25" customHeight="1" x14ac:dyDescent="0.25">
      <c r="A93" s="317"/>
      <c r="D93" s="174" t="e">
        <f>AVERAGE(E64,F64,E76,F76,E88,F88,G64,G76,G88)</f>
        <v>#REF!</v>
      </c>
      <c r="E93" s="175" t="e">
        <f>AVERAGE(E65,F65,E77,F77,E89,F89,G65,G77,G89)</f>
        <v>#DIV/0!</v>
      </c>
    </row>
  </sheetData>
  <mergeCells count="12">
    <mergeCell ref="A22:A50"/>
    <mergeCell ref="A55:A89"/>
    <mergeCell ref="A4:A6"/>
    <mergeCell ref="A92:A93"/>
    <mergeCell ref="D9:F9"/>
    <mergeCell ref="C42:C50"/>
    <mergeCell ref="C32:C40"/>
    <mergeCell ref="C22:C30"/>
    <mergeCell ref="C55:C65"/>
    <mergeCell ref="C79:C89"/>
    <mergeCell ref="C67:C77"/>
    <mergeCell ref="A9:A17"/>
  </mergeCells>
  <pageMargins left="0.7" right="0.7" top="0.75" bottom="0.75" header="0.3" footer="0.3"/>
  <pageSetup paperSize="9" orientation="portrait" r:id="rId1"/>
  <ignoredErrors>
    <ignoredError sqref="E11:E1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43E0E-ACA9-4A65-B785-EC71D161288E}">
  <dimension ref="C1:L18"/>
  <sheetViews>
    <sheetView workbookViewId="0">
      <selection activeCell="R20" sqref="R20"/>
    </sheetView>
  </sheetViews>
  <sheetFormatPr defaultRowHeight="15" x14ac:dyDescent="0.25"/>
  <cols>
    <col min="3" max="3" width="28.5703125" customWidth="1"/>
  </cols>
  <sheetData>
    <row r="1" spans="3:12" ht="18.75" x14ac:dyDescent="0.3">
      <c r="C1" s="6" t="s">
        <v>45</v>
      </c>
    </row>
    <row r="3" spans="3:12" ht="15.75" thickBot="1" x14ac:dyDescent="0.3">
      <c r="C3" t="s">
        <v>46</v>
      </c>
      <c r="D3" t="s">
        <v>47</v>
      </c>
    </row>
    <row r="4" spans="3:12" ht="16.5" thickTop="1" thickBot="1" x14ac:dyDescent="0.3">
      <c r="C4" s="198" t="s">
        <v>12</v>
      </c>
      <c r="D4" s="197">
        <f>Inputs!G1</f>
        <v>0</v>
      </c>
      <c r="G4" s="61" t="s">
        <v>48</v>
      </c>
    </row>
    <row r="5" spans="3:12" ht="16.5" customHeight="1" thickTop="1" thickBot="1" x14ac:dyDescent="0.3">
      <c r="C5" s="198" t="s">
        <v>14</v>
      </c>
      <c r="D5" s="197">
        <f>'Calcs - Volume Scenarios'!G1</f>
        <v>0</v>
      </c>
      <c r="G5" s="314" t="s">
        <v>49</v>
      </c>
      <c r="H5" s="314"/>
      <c r="I5" s="314"/>
      <c r="J5" s="314"/>
      <c r="K5" s="314"/>
      <c r="L5" s="314"/>
    </row>
    <row r="6" spans="3:12" ht="16.5" thickTop="1" thickBot="1" x14ac:dyDescent="0.3">
      <c r="C6" s="198" t="s">
        <v>16</v>
      </c>
      <c r="D6" s="197">
        <f>'Calcs - Price Scenarios'!G1</f>
        <v>0</v>
      </c>
      <c r="G6" s="314"/>
      <c r="H6" s="314"/>
      <c r="I6" s="314"/>
      <c r="J6" s="314"/>
      <c r="K6" s="314"/>
      <c r="L6" s="314"/>
    </row>
    <row r="7" spans="3:12" ht="16.5" thickTop="1" thickBot="1" x14ac:dyDescent="0.3">
      <c r="C7" s="198" t="s">
        <v>18</v>
      </c>
      <c r="D7" s="197">
        <f>'Calcs - Price x Vol'!G1</f>
        <v>0</v>
      </c>
      <c r="G7" s="314"/>
      <c r="H7" s="314"/>
      <c r="I7" s="314"/>
      <c r="J7" s="314"/>
      <c r="K7" s="314"/>
      <c r="L7" s="314"/>
    </row>
    <row r="8" spans="3:12" ht="16.5" thickTop="1" thickBot="1" x14ac:dyDescent="0.3">
      <c r="C8" s="198" t="s">
        <v>20</v>
      </c>
      <c r="D8" s="197">
        <f>'Calcs - Discounted cash flows'!G1</f>
        <v>0</v>
      </c>
      <c r="G8" s="314"/>
      <c r="H8" s="314"/>
      <c r="I8" s="314"/>
      <c r="J8" s="314"/>
      <c r="K8" s="314"/>
      <c r="L8" s="314"/>
    </row>
    <row r="9" spans="3:12" ht="16.5" thickTop="1" thickBot="1" x14ac:dyDescent="0.3">
      <c r="C9" s="198" t="s">
        <v>22</v>
      </c>
      <c r="D9" s="197">
        <f>Outputs!G1</f>
        <v>0</v>
      </c>
      <c r="G9" s="314"/>
      <c r="H9" s="314"/>
      <c r="I9" s="314"/>
      <c r="J9" s="314"/>
      <c r="K9" s="314"/>
      <c r="L9" s="314"/>
    </row>
    <row r="10" spans="3:12" ht="16.5" thickTop="1" thickBot="1" x14ac:dyDescent="0.3">
      <c r="C10" s="198" t="s">
        <v>50</v>
      </c>
      <c r="D10" s="197">
        <f ca="1">'Sensitivity (purchase timing)'!G1</f>
        <v>0</v>
      </c>
      <c r="G10" s="314"/>
      <c r="H10" s="314"/>
      <c r="I10" s="314"/>
      <c r="J10" s="314"/>
      <c r="K10" s="314"/>
      <c r="L10" s="314"/>
    </row>
    <row r="11" spans="3:12" ht="16.5" thickTop="1" thickBot="1" x14ac:dyDescent="0.3">
      <c r="C11" s="198" t="s">
        <v>26</v>
      </c>
      <c r="D11" s="197" t="e">
        <f ca="1">'Sensitivity (discount rate +1%)'!G1</f>
        <v>#VALUE!</v>
      </c>
      <c r="G11" s="314"/>
      <c r="H11" s="314"/>
      <c r="I11" s="314"/>
      <c r="J11" s="314"/>
      <c r="K11" s="314"/>
      <c r="L11" s="314"/>
    </row>
    <row r="12" spans="3:12" ht="16.5" thickTop="1" thickBot="1" x14ac:dyDescent="0.3">
      <c r="C12" s="198" t="s">
        <v>28</v>
      </c>
      <c r="D12" s="197" t="e">
        <f ca="1">'Sensitivity (discount rate 8%)'!G1</f>
        <v>#VALUE!</v>
      </c>
      <c r="G12" s="314"/>
      <c r="H12" s="314"/>
      <c r="I12" s="314"/>
      <c r="J12" s="314"/>
      <c r="K12" s="314"/>
      <c r="L12" s="314"/>
    </row>
    <row r="13" spans="3:12" ht="16.5" thickTop="1" thickBot="1" x14ac:dyDescent="0.3">
      <c r="C13" s="198" t="s">
        <v>51</v>
      </c>
      <c r="D13" s="197">
        <f>'Sensitivity (escalation)'!G1</f>
        <v>0</v>
      </c>
      <c r="G13" s="314"/>
      <c r="H13" s="314"/>
      <c r="I13" s="314"/>
      <c r="J13" s="314"/>
      <c r="K13" s="314"/>
      <c r="L13" s="314"/>
    </row>
    <row r="14" spans="3:12" ht="16.5" thickTop="1" thickBot="1" x14ac:dyDescent="0.3">
      <c r="C14" s="199" t="s">
        <v>52</v>
      </c>
    </row>
    <row r="15" spans="3:12" ht="16.5" thickTop="1" thickBot="1" x14ac:dyDescent="0.3">
      <c r="C15" s="199" t="s">
        <v>53</v>
      </c>
      <c r="D15" s="197">
        <f ca="1">ROWS(D4:D13)-_xlfn.SHEETS()+3</f>
        <v>0</v>
      </c>
      <c r="E15" s="284" t="s">
        <v>54</v>
      </c>
    </row>
    <row r="16" spans="3:12" ht="16.5" thickTop="1" thickBot="1" x14ac:dyDescent="0.3"/>
    <row r="17" spans="3:4" ht="16.5" thickTop="1" thickBot="1" x14ac:dyDescent="0.3">
      <c r="C17" t="s">
        <v>55</v>
      </c>
      <c r="D17" s="197" t="e">
        <f ca="1">SUM(D4:D15)</f>
        <v>#VALUE!</v>
      </c>
    </row>
    <row r="18" spans="3:4" ht="15.75" thickTop="1" x14ac:dyDescent="0.25"/>
  </sheetData>
  <mergeCells count="1">
    <mergeCell ref="G5:L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F5810-81EA-4452-96AA-E7F9CC7AA815}">
  <sheetPr codeName="Sheet3">
    <tabColor theme="8"/>
  </sheetPr>
  <dimension ref="A1:P159"/>
  <sheetViews>
    <sheetView topLeftCell="A49" zoomScale="80" workbookViewId="0">
      <selection activeCell="G57" sqref="G57"/>
    </sheetView>
  </sheetViews>
  <sheetFormatPr defaultRowHeight="15" x14ac:dyDescent="0.25"/>
  <cols>
    <col min="1" max="1" width="30.5703125" customWidth="1"/>
    <col min="2" max="2" width="4.5703125" customWidth="1"/>
    <col min="3" max="7" width="30.5703125" customWidth="1"/>
    <col min="8" max="8" width="14.140625" customWidth="1"/>
    <col min="9" max="9" width="15.140625" customWidth="1"/>
    <col min="10" max="10" width="14" customWidth="1"/>
  </cols>
  <sheetData>
    <row r="1" spans="1:7" ht="16.5" thickTop="1" thickBot="1" x14ac:dyDescent="0.3">
      <c r="C1" t="s">
        <v>45</v>
      </c>
      <c r="D1" t="s">
        <v>56</v>
      </c>
      <c r="E1" s="197" t="e">
        <f ca="1">Checks!$D$17</f>
        <v>#VALUE!</v>
      </c>
      <c r="F1" t="s">
        <v>57</v>
      </c>
      <c r="G1" s="197">
        <f>SUM(E106:E138, D42)+ SUMPRODUCT(I50:J54)</f>
        <v>0</v>
      </c>
    </row>
    <row r="2" spans="1:7" ht="19.5" thickTop="1" x14ac:dyDescent="0.3">
      <c r="C2" s="6" t="s">
        <v>58</v>
      </c>
    </row>
    <row r="3" spans="1:7" x14ac:dyDescent="0.25">
      <c r="A3" s="61" t="s">
        <v>48</v>
      </c>
    </row>
    <row r="4" spans="1:7" ht="43.5" customHeight="1" x14ac:dyDescent="0.25">
      <c r="A4" s="315" t="s">
        <v>59</v>
      </c>
      <c r="C4" s="132" t="s">
        <v>60</v>
      </c>
      <c r="D4" s="133" t="s">
        <v>61</v>
      </c>
      <c r="E4" s="134" t="s">
        <v>62</v>
      </c>
      <c r="F4" s="135" t="s">
        <v>63</v>
      </c>
      <c r="G4" s="192" t="s">
        <v>64</v>
      </c>
    </row>
    <row r="5" spans="1:7" ht="90" x14ac:dyDescent="0.25">
      <c r="A5" s="316"/>
      <c r="C5" s="136"/>
      <c r="D5" s="137" t="s">
        <v>65</v>
      </c>
      <c r="E5" s="138" t="s">
        <v>66</v>
      </c>
      <c r="F5" s="137" t="s">
        <v>65</v>
      </c>
    </row>
    <row r="6" spans="1:7" x14ac:dyDescent="0.25">
      <c r="A6" s="316"/>
      <c r="C6" s="124">
        <v>2021</v>
      </c>
      <c r="D6" s="86">
        <v>75.175579810526386</v>
      </c>
      <c r="E6" s="87"/>
      <c r="F6" s="86">
        <v>73.384011668940204</v>
      </c>
    </row>
    <row r="7" spans="1:7" x14ac:dyDescent="0.25">
      <c r="A7" s="316"/>
      <c r="C7" s="89">
        <v>2022</v>
      </c>
      <c r="D7" s="88">
        <v>75.037292718643911</v>
      </c>
      <c r="E7" s="319">
        <v>290</v>
      </c>
      <c r="F7" s="88">
        <v>73.144556751398184</v>
      </c>
    </row>
    <row r="8" spans="1:7" x14ac:dyDescent="0.25">
      <c r="A8" s="316"/>
      <c r="C8" s="89">
        <v>2023</v>
      </c>
      <c r="D8" s="88">
        <v>74.76677573916615</v>
      </c>
      <c r="E8" s="320"/>
      <c r="F8" s="88">
        <v>72.936119601411562</v>
      </c>
    </row>
    <row r="9" spans="1:7" x14ac:dyDescent="0.25">
      <c r="A9" s="316"/>
      <c r="C9" s="89">
        <v>2024</v>
      </c>
      <c r="D9" s="88">
        <v>73.961131653521065</v>
      </c>
      <c r="E9" s="320"/>
      <c r="F9" s="88">
        <v>71.441625963684885</v>
      </c>
    </row>
    <row r="10" spans="1:7" x14ac:dyDescent="0.25">
      <c r="A10" s="316"/>
      <c r="C10" s="89">
        <v>2025</v>
      </c>
      <c r="D10" s="88">
        <v>69.811816032374779</v>
      </c>
      <c r="E10" s="321"/>
      <c r="F10" s="88">
        <v>67.959928957129591</v>
      </c>
    </row>
    <row r="11" spans="1:7" x14ac:dyDescent="0.25">
      <c r="A11" s="316"/>
      <c r="C11" s="89">
        <v>2026</v>
      </c>
      <c r="D11" s="88">
        <v>67.872728569736935</v>
      </c>
      <c r="E11" s="322">
        <v>305</v>
      </c>
      <c r="F11" s="88">
        <v>65.665921312767324</v>
      </c>
    </row>
    <row r="12" spans="1:7" x14ac:dyDescent="0.25">
      <c r="A12" s="316"/>
      <c r="C12" s="89">
        <v>2027</v>
      </c>
      <c r="D12" s="88">
        <v>65.746038985799686</v>
      </c>
      <c r="E12" s="323"/>
      <c r="F12" s="88">
        <v>63.124868547013598</v>
      </c>
    </row>
    <row r="13" spans="1:7" x14ac:dyDescent="0.25">
      <c r="A13" s="316"/>
      <c r="C13" s="89">
        <v>2028</v>
      </c>
      <c r="D13" s="88">
        <v>63.139796435112046</v>
      </c>
      <c r="E13" s="323"/>
      <c r="F13" s="88">
        <v>60.005951345231722</v>
      </c>
    </row>
    <row r="14" spans="1:7" x14ac:dyDescent="0.25">
      <c r="A14" s="316"/>
      <c r="C14" s="89">
        <v>2029</v>
      </c>
      <c r="D14" s="88">
        <v>60.606718231413737</v>
      </c>
      <c r="E14" s="323"/>
      <c r="F14" s="88">
        <v>56.834727379614236</v>
      </c>
    </row>
    <row r="15" spans="1:7" x14ac:dyDescent="0.25">
      <c r="A15" s="317"/>
      <c r="C15" s="89">
        <v>2030</v>
      </c>
      <c r="D15" s="88">
        <v>58.997522767825963</v>
      </c>
      <c r="E15" s="323"/>
      <c r="F15" s="88">
        <v>54.458576547608551</v>
      </c>
    </row>
    <row r="16" spans="1:7" x14ac:dyDescent="0.25">
      <c r="A16" s="64"/>
      <c r="C16" s="89">
        <v>2031</v>
      </c>
      <c r="D16" s="214">
        <f>$E$16/5</f>
        <v>48</v>
      </c>
      <c r="E16" s="328">
        <f>D35</f>
        <v>240</v>
      </c>
      <c r="F16" s="214">
        <f>$E$16/5</f>
        <v>48</v>
      </c>
    </row>
    <row r="17" spans="1:7" x14ac:dyDescent="0.25">
      <c r="A17" s="64"/>
      <c r="C17" s="89">
        <v>2032</v>
      </c>
      <c r="D17" s="214">
        <f t="shared" ref="D17:D20" si="0">$E$16/5</f>
        <v>48</v>
      </c>
      <c r="E17" s="329"/>
      <c r="F17" s="214">
        <f t="shared" ref="F17:F20" si="1">$E$16/5</f>
        <v>48</v>
      </c>
    </row>
    <row r="18" spans="1:7" x14ac:dyDescent="0.25">
      <c r="A18" s="64"/>
      <c r="C18" s="89">
        <v>2033</v>
      </c>
      <c r="D18" s="214">
        <f t="shared" si="0"/>
        <v>48</v>
      </c>
      <c r="E18" s="329"/>
      <c r="F18" s="214">
        <f t="shared" si="1"/>
        <v>48</v>
      </c>
    </row>
    <row r="19" spans="1:7" x14ac:dyDescent="0.25">
      <c r="A19" s="64"/>
      <c r="C19" s="89">
        <v>2034</v>
      </c>
      <c r="D19" s="214">
        <f t="shared" si="0"/>
        <v>48</v>
      </c>
      <c r="E19" s="329"/>
      <c r="F19" s="214">
        <f t="shared" si="1"/>
        <v>48</v>
      </c>
    </row>
    <row r="20" spans="1:7" x14ac:dyDescent="0.25">
      <c r="A20" s="64"/>
      <c r="C20" s="90">
        <v>2035</v>
      </c>
      <c r="D20" s="221">
        <f t="shared" si="0"/>
        <v>48</v>
      </c>
      <c r="E20" s="330"/>
      <c r="F20" s="221">
        <f t="shared" si="1"/>
        <v>48</v>
      </c>
    </row>
    <row r="23" spans="1:7" ht="18.75" x14ac:dyDescent="0.3">
      <c r="C23" s="6" t="s">
        <v>67</v>
      </c>
    </row>
    <row r="24" spans="1:7" x14ac:dyDescent="0.25">
      <c r="A24" s="61" t="s">
        <v>48</v>
      </c>
    </row>
    <row r="25" spans="1:7" x14ac:dyDescent="0.25">
      <c r="A25" s="315" t="s">
        <v>68</v>
      </c>
      <c r="C25" s="17" t="s">
        <v>69</v>
      </c>
      <c r="D25" s="46" t="s">
        <v>70</v>
      </c>
    </row>
    <row r="26" spans="1:7" ht="76.5" customHeight="1" x14ac:dyDescent="0.25">
      <c r="A26" s="317"/>
      <c r="C26" s="139" t="s">
        <v>71</v>
      </c>
      <c r="D26" s="140">
        <v>571</v>
      </c>
      <c r="G26" s="192" t="s">
        <v>64</v>
      </c>
    </row>
    <row r="29" spans="1:7" ht="18.75" x14ac:dyDescent="0.3">
      <c r="C29" s="6" t="s">
        <v>72</v>
      </c>
    </row>
    <row r="30" spans="1:7" ht="18.75" x14ac:dyDescent="0.3">
      <c r="C30" s="6"/>
    </row>
    <row r="31" spans="1:7" x14ac:dyDescent="0.25">
      <c r="A31" s="61" t="s">
        <v>48</v>
      </c>
      <c r="C31" s="1" t="s">
        <v>73</v>
      </c>
    </row>
    <row r="32" spans="1:7" ht="15" customHeight="1" x14ac:dyDescent="0.25">
      <c r="A32" s="318" t="s">
        <v>74</v>
      </c>
      <c r="C32" s="17" t="s">
        <v>60</v>
      </c>
      <c r="D32" s="17" t="s">
        <v>75</v>
      </c>
      <c r="E32" s="17" t="s">
        <v>69</v>
      </c>
    </row>
    <row r="33" spans="1:8" x14ac:dyDescent="0.25">
      <c r="A33" s="314"/>
      <c r="C33" s="215" t="s">
        <v>76</v>
      </c>
      <c r="D33" s="218">
        <v>86.615377459049895</v>
      </c>
      <c r="E33" s="206" t="s">
        <v>77</v>
      </c>
    </row>
    <row r="34" spans="1:8" x14ac:dyDescent="0.25">
      <c r="A34" s="314"/>
      <c r="C34" s="216" t="s">
        <v>78</v>
      </c>
      <c r="D34" s="198">
        <v>56.703319999999998</v>
      </c>
      <c r="E34" s="206" t="s">
        <v>79</v>
      </c>
    </row>
    <row r="35" spans="1:8" x14ac:dyDescent="0.25">
      <c r="A35" s="314"/>
      <c r="C35" s="217" t="s">
        <v>80</v>
      </c>
      <c r="D35" s="207">
        <v>240</v>
      </c>
      <c r="E35" s="208"/>
    </row>
    <row r="36" spans="1:8" x14ac:dyDescent="0.25">
      <c r="A36" s="314"/>
    </row>
    <row r="37" spans="1:8" x14ac:dyDescent="0.25">
      <c r="A37" s="314"/>
      <c r="C37" s="17" t="s">
        <v>81</v>
      </c>
      <c r="D37" s="17" t="s">
        <v>82</v>
      </c>
      <c r="E37" s="205" t="s">
        <v>83</v>
      </c>
      <c r="F37" s="17"/>
      <c r="G37" s="17"/>
      <c r="H37" s="17"/>
    </row>
    <row r="38" spans="1:8" x14ac:dyDescent="0.25">
      <c r="A38" s="314"/>
      <c r="C38" s="215" t="s">
        <v>84</v>
      </c>
      <c r="D38" s="198">
        <v>51</v>
      </c>
      <c r="E38" s="198">
        <v>55</v>
      </c>
      <c r="F38" s="198">
        <v>60</v>
      </c>
      <c r="G38" s="198">
        <v>65</v>
      </c>
      <c r="H38" s="209">
        <v>70</v>
      </c>
    </row>
    <row r="39" spans="1:8" x14ac:dyDescent="0.25">
      <c r="A39" s="314"/>
      <c r="C39" s="216" t="s">
        <v>85</v>
      </c>
      <c r="D39" s="210">
        <f>(D35-2*D34)/3</f>
        <v>42.197786666666666</v>
      </c>
      <c r="E39" s="210">
        <f t="shared" ref="E39:H39" si="2">$D33*((100-E38)/100)</f>
        <v>38.976919856572451</v>
      </c>
      <c r="F39" s="210">
        <f t="shared" si="2"/>
        <v>34.646150983619961</v>
      </c>
      <c r="G39" s="210">
        <f t="shared" si="2"/>
        <v>30.315382110667461</v>
      </c>
      <c r="H39" s="211">
        <f t="shared" si="2"/>
        <v>25.984613237714967</v>
      </c>
    </row>
    <row r="40" spans="1:8" x14ac:dyDescent="0.25">
      <c r="A40" s="314"/>
      <c r="C40" s="217" t="s">
        <v>86</v>
      </c>
      <c r="D40" s="212">
        <f>(2*$D34)+(3*D39)</f>
        <v>240</v>
      </c>
      <c r="E40" s="212">
        <f t="shared" ref="E40:H40" si="3">(2*$D34)+(3*E39)</f>
        <v>230.33739956971735</v>
      </c>
      <c r="F40" s="212">
        <f t="shared" si="3"/>
        <v>217.34509295085988</v>
      </c>
      <c r="G40" s="212">
        <f t="shared" si="3"/>
        <v>204.35278633200238</v>
      </c>
      <c r="H40" s="213">
        <f t="shared" si="3"/>
        <v>191.36047971314491</v>
      </c>
    </row>
    <row r="41" spans="1:8" ht="15.75" thickBot="1" x14ac:dyDescent="0.3">
      <c r="A41" s="314"/>
    </row>
    <row r="42" spans="1:8" ht="16.5" thickTop="1" thickBot="1" x14ac:dyDescent="0.3">
      <c r="A42" s="314"/>
      <c r="C42" s="11" t="s">
        <v>87</v>
      </c>
      <c r="D42" s="197">
        <f>D40-D35</f>
        <v>0</v>
      </c>
    </row>
    <row r="43" spans="1:8" ht="19.5" thickTop="1" x14ac:dyDescent="0.3">
      <c r="A43" s="314"/>
      <c r="C43" s="6"/>
    </row>
    <row r="44" spans="1:8" x14ac:dyDescent="0.25">
      <c r="A44" s="314"/>
    </row>
    <row r="47" spans="1:8" ht="18.75" x14ac:dyDescent="0.3">
      <c r="C47" s="6" t="s">
        <v>88</v>
      </c>
    </row>
    <row r="48" spans="1:8" x14ac:dyDescent="0.25">
      <c r="A48" s="61" t="s">
        <v>48</v>
      </c>
    </row>
    <row r="49" spans="1:10" ht="60.75" thickBot="1" x14ac:dyDescent="0.3">
      <c r="A49" s="315" t="s">
        <v>89</v>
      </c>
      <c r="C49" s="27" t="s">
        <v>34</v>
      </c>
      <c r="D49" s="29" t="s">
        <v>69</v>
      </c>
      <c r="E49" s="130" t="s">
        <v>90</v>
      </c>
      <c r="F49" s="130" t="s">
        <v>60</v>
      </c>
      <c r="G49" s="130" t="s">
        <v>91</v>
      </c>
      <c r="H49" s="76" t="s">
        <v>92</v>
      </c>
      <c r="I49" s="244" t="s">
        <v>93</v>
      </c>
      <c r="J49" s="244" t="s">
        <v>94</v>
      </c>
    </row>
    <row r="50" spans="1:10" ht="76.5" thickTop="1" thickBot="1" x14ac:dyDescent="0.3">
      <c r="A50" s="316"/>
      <c r="C50" s="139" t="s">
        <v>95</v>
      </c>
      <c r="D50" s="185" t="s">
        <v>96</v>
      </c>
      <c r="E50" s="186" t="s">
        <v>97</v>
      </c>
      <c r="F50" s="307">
        <v>2030</v>
      </c>
      <c r="G50" s="186">
        <v>2023</v>
      </c>
      <c r="H50" s="187">
        <v>90</v>
      </c>
      <c r="I50" s="197">
        <f>--NOT(EXACT(C50, C51))</f>
        <v>0</v>
      </c>
      <c r="J50" s="309">
        <f>2030-F50</f>
        <v>0</v>
      </c>
    </row>
    <row r="51" spans="1:10" ht="76.5" thickTop="1" thickBot="1" x14ac:dyDescent="0.3">
      <c r="A51" s="316"/>
      <c r="C51" s="139" t="s">
        <v>95</v>
      </c>
      <c r="D51" s="185" t="s">
        <v>96</v>
      </c>
      <c r="E51" s="186" t="s">
        <v>97</v>
      </c>
      <c r="F51" s="307">
        <v>2035</v>
      </c>
      <c r="G51" s="186">
        <v>2023</v>
      </c>
      <c r="H51" s="187">
        <v>125</v>
      </c>
      <c r="J51" s="197">
        <f>2035-F51</f>
        <v>0</v>
      </c>
    </row>
    <row r="52" spans="1:10" ht="76.5" thickTop="1" thickBot="1" x14ac:dyDescent="0.3">
      <c r="A52" s="316"/>
      <c r="C52" s="129" t="s">
        <v>98</v>
      </c>
      <c r="D52" s="188" t="s">
        <v>96</v>
      </c>
      <c r="E52" s="131" t="s">
        <v>97</v>
      </c>
      <c r="F52" s="308">
        <v>2030</v>
      </c>
      <c r="G52" s="186">
        <v>2023</v>
      </c>
      <c r="H52" s="121">
        <v>25</v>
      </c>
      <c r="I52" s="197">
        <f>--NOT(EXACT(C52, C53))</f>
        <v>0</v>
      </c>
      <c r="J52" s="309">
        <f>2030-F52</f>
        <v>0</v>
      </c>
    </row>
    <row r="53" spans="1:10" ht="76.5" thickTop="1" thickBot="1" x14ac:dyDescent="0.3">
      <c r="A53" s="316"/>
      <c r="C53" s="129" t="s">
        <v>98</v>
      </c>
      <c r="D53" s="188" t="s">
        <v>96</v>
      </c>
      <c r="E53" s="131" t="s">
        <v>97</v>
      </c>
      <c r="F53" s="308">
        <v>2035</v>
      </c>
      <c r="G53" s="186">
        <v>2023</v>
      </c>
      <c r="H53" s="121">
        <v>50</v>
      </c>
      <c r="J53" s="197">
        <f>2035-F53</f>
        <v>0</v>
      </c>
    </row>
    <row r="54" spans="1:10" ht="46.5" thickTop="1" thickBot="1" x14ac:dyDescent="0.3">
      <c r="A54" s="316"/>
      <c r="C54" s="373" t="s">
        <v>99</v>
      </c>
      <c r="D54" s="377" t="s">
        <v>259</v>
      </c>
      <c r="E54" s="374" t="s">
        <v>97</v>
      </c>
      <c r="F54" s="375">
        <v>2024</v>
      </c>
      <c r="G54" s="374">
        <v>2023</v>
      </c>
      <c r="H54" s="377" t="s">
        <v>259</v>
      </c>
      <c r="I54" s="192"/>
      <c r="J54" s="376">
        <f>F54-2024</f>
        <v>0</v>
      </c>
    </row>
    <row r="55" spans="1:10" ht="15.75" thickTop="1" x14ac:dyDescent="0.25"/>
    <row r="57" spans="1:10" ht="18.75" x14ac:dyDescent="0.3">
      <c r="C57" s="6" t="s">
        <v>100</v>
      </c>
    </row>
    <row r="58" spans="1:10" x14ac:dyDescent="0.25">
      <c r="A58" s="61" t="s">
        <v>48</v>
      </c>
    </row>
    <row r="59" spans="1:10" x14ac:dyDescent="0.25">
      <c r="A59" s="315" t="s">
        <v>101</v>
      </c>
      <c r="C59" s="125" t="s">
        <v>12</v>
      </c>
      <c r="D59" s="18" t="s">
        <v>69</v>
      </c>
      <c r="E59" s="78" t="s">
        <v>102</v>
      </c>
    </row>
    <row r="60" spans="1:10" ht="60" x14ac:dyDescent="0.25">
      <c r="A60" s="316"/>
      <c r="C60" s="127" t="s">
        <v>103</v>
      </c>
      <c r="D60" s="245" t="s">
        <v>104</v>
      </c>
      <c r="E60" s="122">
        <v>0.62158000000000002</v>
      </c>
    </row>
    <row r="61" spans="1:10" ht="60" x14ac:dyDescent="0.25">
      <c r="A61" s="316"/>
      <c r="C61" s="127" t="s">
        <v>105</v>
      </c>
      <c r="D61" s="128" t="s">
        <v>104</v>
      </c>
      <c r="E61" s="122">
        <v>809.92232999999999</v>
      </c>
    </row>
    <row r="62" spans="1:10" ht="60" x14ac:dyDescent="0.25">
      <c r="A62" s="316"/>
      <c r="C62" s="127" t="s">
        <v>106</v>
      </c>
      <c r="D62" s="128" t="s">
        <v>104</v>
      </c>
      <c r="E62" s="122">
        <v>0.57006999999999997</v>
      </c>
    </row>
    <row r="63" spans="1:10" ht="60" x14ac:dyDescent="0.25">
      <c r="A63" s="316"/>
      <c r="C63" s="127" t="s">
        <v>107</v>
      </c>
      <c r="D63" s="128" t="s">
        <v>104</v>
      </c>
      <c r="E63" s="122">
        <v>0.49114999999999998</v>
      </c>
    </row>
    <row r="64" spans="1:10" x14ac:dyDescent="0.25">
      <c r="A64" s="317"/>
    </row>
    <row r="66" spans="1:16" ht="18.75" x14ac:dyDescent="0.3">
      <c r="C66" s="6" t="s">
        <v>108</v>
      </c>
    </row>
    <row r="67" spans="1:16" x14ac:dyDescent="0.25">
      <c r="C67" s="11" t="s">
        <v>109</v>
      </c>
      <c r="D67" s="222" t="s">
        <v>110</v>
      </c>
    </row>
    <row r="68" spans="1:16" x14ac:dyDescent="0.25">
      <c r="A68" s="61" t="s">
        <v>48</v>
      </c>
      <c r="C68" s="125" t="s">
        <v>60</v>
      </c>
      <c r="D68" s="125" t="s">
        <v>111</v>
      </c>
      <c r="E68" s="125" t="s">
        <v>112</v>
      </c>
      <c r="F68" s="125" t="s">
        <v>113</v>
      </c>
      <c r="G68" s="125" t="s">
        <v>114</v>
      </c>
      <c r="H68" s="125" t="s">
        <v>115</v>
      </c>
      <c r="I68" s="125" t="s">
        <v>116</v>
      </c>
      <c r="J68" s="125" t="s">
        <v>117</v>
      </c>
      <c r="K68" s="125" t="s">
        <v>118</v>
      </c>
      <c r="L68" s="125" t="s">
        <v>119</v>
      </c>
      <c r="M68" s="125" t="s">
        <v>120</v>
      </c>
      <c r="N68" s="125" t="s">
        <v>121</v>
      </c>
      <c r="O68" s="125" t="s">
        <v>122</v>
      </c>
      <c r="P68" s="125" t="s">
        <v>123</v>
      </c>
    </row>
    <row r="69" spans="1:16" x14ac:dyDescent="0.25">
      <c r="A69" s="315" t="s">
        <v>124</v>
      </c>
      <c r="C69" s="223">
        <v>2005</v>
      </c>
      <c r="D69" s="198">
        <v>190.7</v>
      </c>
      <c r="E69" s="198">
        <v>191.8</v>
      </c>
      <c r="F69" s="198">
        <v>193.3</v>
      </c>
      <c r="G69" s="198">
        <v>194.6</v>
      </c>
      <c r="H69" s="198">
        <v>194.4</v>
      </c>
      <c r="I69" s="198">
        <v>194.5</v>
      </c>
      <c r="J69" s="198">
        <v>195.4</v>
      </c>
      <c r="K69" s="198">
        <v>196.4</v>
      </c>
      <c r="L69" s="198">
        <v>198.8</v>
      </c>
      <c r="M69" s="198">
        <v>199.2</v>
      </c>
      <c r="N69" s="198">
        <v>197.6</v>
      </c>
      <c r="O69" s="198">
        <v>196.8</v>
      </c>
      <c r="P69" s="226">
        <v>195.3</v>
      </c>
    </row>
    <row r="70" spans="1:16" x14ac:dyDescent="0.25">
      <c r="A70" s="316"/>
      <c r="C70" s="224">
        <v>2006</v>
      </c>
      <c r="D70" s="198">
        <v>198.3</v>
      </c>
      <c r="E70" s="198">
        <v>198.7</v>
      </c>
      <c r="F70" s="198">
        <v>199.8</v>
      </c>
      <c r="G70" s="198">
        <v>201.5</v>
      </c>
      <c r="H70" s="198">
        <v>202.5</v>
      </c>
      <c r="I70" s="198">
        <v>202.9</v>
      </c>
      <c r="J70" s="198">
        <v>203.5</v>
      </c>
      <c r="K70" s="198">
        <v>203.9</v>
      </c>
      <c r="L70" s="198">
        <v>202.9</v>
      </c>
      <c r="M70" s="198">
        <v>201.8</v>
      </c>
      <c r="N70" s="198">
        <v>201.5</v>
      </c>
      <c r="O70" s="198">
        <v>201.8</v>
      </c>
      <c r="P70" s="227">
        <v>201.6</v>
      </c>
    </row>
    <row r="71" spans="1:16" x14ac:dyDescent="0.25">
      <c r="A71" s="316"/>
      <c r="C71" s="224">
        <v>2007</v>
      </c>
      <c r="D71" s="198">
        <v>202.416</v>
      </c>
      <c r="E71" s="198">
        <v>203.499</v>
      </c>
      <c r="F71" s="198">
        <v>205.352</v>
      </c>
      <c r="G71" s="198">
        <v>206.68600000000001</v>
      </c>
      <c r="H71" s="198">
        <v>207.94900000000001</v>
      </c>
      <c r="I71" s="198">
        <v>208.352</v>
      </c>
      <c r="J71" s="198">
        <v>208.29900000000001</v>
      </c>
      <c r="K71" s="198">
        <v>207.917</v>
      </c>
      <c r="L71" s="198">
        <v>208.49</v>
      </c>
      <c r="M71" s="198">
        <v>208.93600000000001</v>
      </c>
      <c r="N71" s="198">
        <v>210.17699999999999</v>
      </c>
      <c r="O71" s="198">
        <v>210.036</v>
      </c>
      <c r="P71" s="227">
        <v>207.34200000000001</v>
      </c>
    </row>
    <row r="72" spans="1:16" x14ac:dyDescent="0.25">
      <c r="A72" s="316"/>
      <c r="C72" s="224">
        <v>2008</v>
      </c>
      <c r="D72" s="198">
        <v>211.08</v>
      </c>
      <c r="E72" s="198">
        <v>211.69300000000001</v>
      </c>
      <c r="F72" s="198">
        <v>213.52799999999999</v>
      </c>
      <c r="G72" s="198">
        <v>214.82300000000001</v>
      </c>
      <c r="H72" s="198">
        <v>216.63200000000001</v>
      </c>
      <c r="I72" s="198">
        <v>218.815</v>
      </c>
      <c r="J72" s="198">
        <v>219.964</v>
      </c>
      <c r="K72" s="198">
        <v>219.08600000000001</v>
      </c>
      <c r="L72" s="198">
        <v>218.78299999999999</v>
      </c>
      <c r="M72" s="198">
        <v>216.57300000000001</v>
      </c>
      <c r="N72" s="198">
        <v>212.42500000000001</v>
      </c>
      <c r="O72" s="198">
        <v>210.22800000000001</v>
      </c>
      <c r="P72" s="227">
        <v>215.303</v>
      </c>
    </row>
    <row r="73" spans="1:16" x14ac:dyDescent="0.25">
      <c r="A73" s="316"/>
      <c r="C73" s="224">
        <v>2009</v>
      </c>
      <c r="D73" s="198">
        <v>211.143</v>
      </c>
      <c r="E73" s="198">
        <v>212.19300000000001</v>
      </c>
      <c r="F73" s="198">
        <v>212.709</v>
      </c>
      <c r="G73" s="198">
        <v>213.24</v>
      </c>
      <c r="H73" s="198">
        <v>213.85599999999999</v>
      </c>
      <c r="I73" s="198">
        <v>215.69300000000001</v>
      </c>
      <c r="J73" s="198">
        <v>215.351</v>
      </c>
      <c r="K73" s="198">
        <v>215.834</v>
      </c>
      <c r="L73" s="198">
        <v>215.96899999999999</v>
      </c>
      <c r="M73" s="198">
        <v>216.17699999999999</v>
      </c>
      <c r="N73" s="198">
        <v>216.33</v>
      </c>
      <c r="O73" s="198">
        <v>215.94900000000001</v>
      </c>
      <c r="P73" s="227">
        <v>214.53700000000001</v>
      </c>
    </row>
    <row r="74" spans="1:16" x14ac:dyDescent="0.25">
      <c r="A74" s="317"/>
      <c r="C74" s="224">
        <v>2010</v>
      </c>
      <c r="D74" s="198">
        <v>216.68700000000001</v>
      </c>
      <c r="E74" s="198">
        <v>216.74100000000001</v>
      </c>
      <c r="F74" s="198">
        <v>217.631</v>
      </c>
      <c r="G74" s="198">
        <v>218.00899999999999</v>
      </c>
      <c r="H74" s="198">
        <v>218.178</v>
      </c>
      <c r="I74" s="198">
        <v>217.965</v>
      </c>
      <c r="J74" s="198">
        <v>218.011</v>
      </c>
      <c r="K74" s="198">
        <v>218.31200000000001</v>
      </c>
      <c r="L74" s="198">
        <v>218.43899999999999</v>
      </c>
      <c r="M74" s="198">
        <v>218.71100000000001</v>
      </c>
      <c r="N74" s="198">
        <v>218.803</v>
      </c>
      <c r="O74" s="198">
        <v>219.179</v>
      </c>
      <c r="P74" s="227">
        <v>218.05600000000001</v>
      </c>
    </row>
    <row r="75" spans="1:16" x14ac:dyDescent="0.25">
      <c r="C75" s="224">
        <v>2011</v>
      </c>
      <c r="D75" s="198">
        <v>220.22300000000001</v>
      </c>
      <c r="E75" s="198">
        <v>221.309</v>
      </c>
      <c r="F75" s="198">
        <v>223.46700000000001</v>
      </c>
      <c r="G75" s="198">
        <v>224.90600000000001</v>
      </c>
      <c r="H75" s="198">
        <v>225.964</v>
      </c>
      <c r="I75" s="198">
        <v>225.72200000000001</v>
      </c>
      <c r="J75" s="198">
        <v>225.922</v>
      </c>
      <c r="K75" s="198">
        <v>226.54499999999999</v>
      </c>
      <c r="L75" s="198">
        <v>226.88900000000001</v>
      </c>
      <c r="M75" s="198">
        <v>226.42099999999999</v>
      </c>
      <c r="N75" s="198">
        <v>226.23</v>
      </c>
      <c r="O75" s="198">
        <v>225.672</v>
      </c>
      <c r="P75" s="227">
        <v>224.93899999999999</v>
      </c>
    </row>
    <row r="76" spans="1:16" x14ac:dyDescent="0.25">
      <c r="C76" s="224">
        <v>2012</v>
      </c>
      <c r="D76" s="198">
        <v>226.66499999999999</v>
      </c>
      <c r="E76" s="198">
        <v>227.66300000000001</v>
      </c>
      <c r="F76" s="198">
        <v>229.392</v>
      </c>
      <c r="G76" s="198">
        <v>230.08500000000001</v>
      </c>
      <c r="H76" s="198">
        <v>229.815</v>
      </c>
      <c r="I76" s="198">
        <v>229.47800000000001</v>
      </c>
      <c r="J76" s="198">
        <v>229.10400000000001</v>
      </c>
      <c r="K76" s="198">
        <v>230.37899999999999</v>
      </c>
      <c r="L76" s="198">
        <v>231.40700000000001</v>
      </c>
      <c r="M76" s="198">
        <v>231.31700000000001</v>
      </c>
      <c r="N76" s="198">
        <v>230.221</v>
      </c>
      <c r="O76" s="198">
        <v>229.601</v>
      </c>
      <c r="P76" s="227">
        <v>229.59399999999999</v>
      </c>
    </row>
    <row r="77" spans="1:16" x14ac:dyDescent="0.25">
      <c r="C77" s="224">
        <v>2013</v>
      </c>
      <c r="D77" s="198">
        <v>230.28</v>
      </c>
      <c r="E77" s="198">
        <v>232.166</v>
      </c>
      <c r="F77" s="198">
        <v>232.773</v>
      </c>
      <c r="G77" s="198">
        <v>232.53100000000001</v>
      </c>
      <c r="H77" s="198">
        <v>232.94499999999999</v>
      </c>
      <c r="I77" s="198">
        <v>233.50399999999999</v>
      </c>
      <c r="J77" s="198">
        <v>233.596</v>
      </c>
      <c r="K77" s="198">
        <v>233.87700000000001</v>
      </c>
      <c r="L77" s="198">
        <v>234.149</v>
      </c>
      <c r="M77" s="198">
        <v>233.54599999999999</v>
      </c>
      <c r="N77" s="198">
        <v>233.06899999999999</v>
      </c>
      <c r="O77" s="198">
        <v>233.04900000000001</v>
      </c>
      <c r="P77" s="227">
        <v>232.95699999999999</v>
      </c>
    </row>
    <row r="78" spans="1:16" x14ac:dyDescent="0.25">
      <c r="C78" s="224">
        <v>2014</v>
      </c>
      <c r="D78" s="198">
        <v>233.916</v>
      </c>
      <c r="E78" s="198">
        <v>234.78100000000001</v>
      </c>
      <c r="F78" s="198">
        <v>236.29300000000001</v>
      </c>
      <c r="G78" s="198">
        <v>237.072</v>
      </c>
      <c r="H78" s="198">
        <v>237.9</v>
      </c>
      <c r="I78" s="198">
        <v>238.34299999999999</v>
      </c>
      <c r="J78" s="198">
        <v>238.25</v>
      </c>
      <c r="K78" s="198">
        <v>237.852</v>
      </c>
      <c r="L78" s="198">
        <v>238.03100000000001</v>
      </c>
      <c r="M78" s="198">
        <v>237.43299999999999</v>
      </c>
      <c r="N78" s="198">
        <v>236.15100000000001</v>
      </c>
      <c r="O78" s="198">
        <v>234.81200000000001</v>
      </c>
      <c r="P78" s="227">
        <v>236.73599999999999</v>
      </c>
    </row>
    <row r="79" spans="1:16" x14ac:dyDescent="0.25">
      <c r="C79" s="224">
        <v>2015</v>
      </c>
      <c r="D79" s="198">
        <v>233.70699999999999</v>
      </c>
      <c r="E79" s="198">
        <v>234.72200000000001</v>
      </c>
      <c r="F79" s="198">
        <v>236.119</v>
      </c>
      <c r="G79" s="198">
        <v>236.59899999999999</v>
      </c>
      <c r="H79" s="198">
        <v>237.80500000000001</v>
      </c>
      <c r="I79" s="198">
        <v>238.63800000000001</v>
      </c>
      <c r="J79" s="198">
        <v>238.654</v>
      </c>
      <c r="K79" s="198">
        <v>238.316</v>
      </c>
      <c r="L79" s="198">
        <v>237.94499999999999</v>
      </c>
      <c r="M79" s="198">
        <v>237.83799999999999</v>
      </c>
      <c r="N79" s="198">
        <v>237.33600000000001</v>
      </c>
      <c r="O79" s="198">
        <v>236.52500000000001</v>
      </c>
      <c r="P79" s="227">
        <v>237.017</v>
      </c>
    </row>
    <row r="80" spans="1:16" x14ac:dyDescent="0.25">
      <c r="C80" s="224">
        <v>2016</v>
      </c>
      <c r="D80" s="198">
        <v>236.916</v>
      </c>
      <c r="E80" s="198">
        <v>237.11099999999999</v>
      </c>
      <c r="F80" s="198">
        <v>238.13200000000001</v>
      </c>
      <c r="G80" s="198">
        <v>239.261</v>
      </c>
      <c r="H80" s="198">
        <v>240.22900000000001</v>
      </c>
      <c r="I80" s="198">
        <v>241.018</v>
      </c>
      <c r="J80" s="198">
        <v>240.62799999999999</v>
      </c>
      <c r="K80" s="198">
        <v>240.84899999999999</v>
      </c>
      <c r="L80" s="198">
        <v>241.428</v>
      </c>
      <c r="M80" s="198">
        <v>241.72900000000001</v>
      </c>
      <c r="N80" s="198">
        <v>241.35300000000001</v>
      </c>
      <c r="O80" s="198">
        <v>241.43199999999999</v>
      </c>
      <c r="P80" s="227">
        <v>240.00700000000001</v>
      </c>
    </row>
    <row r="81" spans="1:16" x14ac:dyDescent="0.25">
      <c r="C81" s="224">
        <v>2017</v>
      </c>
      <c r="D81" s="198">
        <v>242.839</v>
      </c>
      <c r="E81" s="198">
        <v>243.60300000000001</v>
      </c>
      <c r="F81" s="198">
        <v>243.80099999999999</v>
      </c>
      <c r="G81" s="198">
        <v>244.524</v>
      </c>
      <c r="H81" s="198">
        <v>244.733</v>
      </c>
      <c r="I81" s="198">
        <v>244.95500000000001</v>
      </c>
      <c r="J81" s="198">
        <v>244.786</v>
      </c>
      <c r="K81" s="198">
        <v>245.51900000000001</v>
      </c>
      <c r="L81" s="198">
        <v>246.81899999999999</v>
      </c>
      <c r="M81" s="198">
        <v>246.66300000000001</v>
      </c>
      <c r="N81" s="198">
        <v>246.66900000000001</v>
      </c>
      <c r="O81" s="198">
        <v>246.524</v>
      </c>
      <c r="P81" s="227">
        <v>245.12</v>
      </c>
    </row>
    <row r="82" spans="1:16" x14ac:dyDescent="0.25">
      <c r="C82" s="224">
        <v>2018</v>
      </c>
      <c r="D82" s="198">
        <v>247.86699999999999</v>
      </c>
      <c r="E82" s="198">
        <v>248.99100000000001</v>
      </c>
      <c r="F82" s="198">
        <v>249.554</v>
      </c>
      <c r="G82" s="198">
        <v>250.54599999999999</v>
      </c>
      <c r="H82" s="198">
        <v>251.58799999999999</v>
      </c>
      <c r="I82" s="198">
        <v>251.989</v>
      </c>
      <c r="J82" s="198">
        <v>252.006</v>
      </c>
      <c r="K82" s="198">
        <v>252.14599999999999</v>
      </c>
      <c r="L82" s="198">
        <v>252.43899999999999</v>
      </c>
      <c r="M82" s="198">
        <v>252.88499999999999</v>
      </c>
      <c r="N82" s="198">
        <v>252.03800000000001</v>
      </c>
      <c r="O82" s="198">
        <v>251.233</v>
      </c>
      <c r="P82" s="227">
        <v>251.107</v>
      </c>
    </row>
    <row r="83" spans="1:16" x14ac:dyDescent="0.25">
      <c r="C83" s="224">
        <v>2019</v>
      </c>
      <c r="D83" s="198">
        <v>251.71199999999999</v>
      </c>
      <c r="E83" s="198">
        <v>252.77600000000001</v>
      </c>
      <c r="F83" s="198">
        <v>254.202</v>
      </c>
      <c r="G83" s="198">
        <v>255.548</v>
      </c>
      <c r="H83" s="198">
        <v>256.09199999999998</v>
      </c>
      <c r="I83" s="198">
        <v>256.14299999999997</v>
      </c>
      <c r="J83" s="198">
        <v>256.57100000000003</v>
      </c>
      <c r="K83" s="198">
        <v>256.55799999999999</v>
      </c>
      <c r="L83" s="198">
        <v>256.75900000000001</v>
      </c>
      <c r="M83" s="198">
        <v>257.346</v>
      </c>
      <c r="N83" s="198">
        <v>257.20800000000003</v>
      </c>
      <c r="O83" s="198">
        <v>256.97399999999999</v>
      </c>
      <c r="P83" s="227">
        <v>255.65700000000001</v>
      </c>
    </row>
    <row r="84" spans="1:16" x14ac:dyDescent="0.25">
      <c r="C84" s="224">
        <v>2020</v>
      </c>
      <c r="D84" s="198">
        <v>257.971</v>
      </c>
      <c r="E84" s="198">
        <v>258.678</v>
      </c>
      <c r="F84" s="198">
        <v>258.11500000000001</v>
      </c>
      <c r="G84" s="198">
        <v>256.38900000000001</v>
      </c>
      <c r="H84" s="198">
        <v>256.39400000000001</v>
      </c>
      <c r="I84" s="198">
        <v>257.79700000000003</v>
      </c>
      <c r="J84" s="198">
        <v>259.101</v>
      </c>
      <c r="K84" s="198">
        <v>259.91800000000001</v>
      </c>
      <c r="L84" s="198">
        <v>260.27999999999997</v>
      </c>
      <c r="M84" s="198">
        <v>260.38799999999998</v>
      </c>
      <c r="N84" s="198">
        <v>260.22899999999998</v>
      </c>
      <c r="O84" s="198">
        <v>260.47399999999999</v>
      </c>
      <c r="P84" s="227">
        <v>258.81099999999998</v>
      </c>
    </row>
    <row r="85" spans="1:16" x14ac:dyDescent="0.25">
      <c r="C85" s="224">
        <v>2021</v>
      </c>
      <c r="D85" s="198">
        <v>261.58199999999999</v>
      </c>
      <c r="E85" s="198">
        <v>263.01400000000001</v>
      </c>
      <c r="F85" s="198">
        <v>264.87700000000001</v>
      </c>
      <c r="G85" s="198">
        <v>267.05399999999997</v>
      </c>
      <c r="H85" s="198">
        <v>269.19499999999999</v>
      </c>
      <c r="I85" s="198">
        <v>271.69600000000003</v>
      </c>
      <c r="J85" s="198">
        <v>273.00299999999999</v>
      </c>
      <c r="K85" s="198">
        <v>273.56700000000001</v>
      </c>
      <c r="L85" s="198">
        <v>274.31</v>
      </c>
      <c r="M85" s="198">
        <v>276.589</v>
      </c>
      <c r="N85" s="198">
        <v>277.94799999999998</v>
      </c>
      <c r="O85" s="198">
        <v>278.80200000000002</v>
      </c>
      <c r="P85" s="227">
        <v>270.97000000000003</v>
      </c>
    </row>
    <row r="86" spans="1:16" x14ac:dyDescent="0.25">
      <c r="C86" s="224">
        <v>2022</v>
      </c>
      <c r="D86" s="198">
        <v>281.14800000000002</v>
      </c>
      <c r="E86" s="198">
        <v>283.71600000000001</v>
      </c>
      <c r="F86" s="198">
        <v>287.50400000000002</v>
      </c>
      <c r="G86" s="198">
        <v>289.10899999999998</v>
      </c>
      <c r="H86" s="198">
        <v>292.29599999999999</v>
      </c>
      <c r="I86" s="198">
        <v>296.31099999999998</v>
      </c>
      <c r="J86" s="198">
        <v>296.27600000000001</v>
      </c>
      <c r="K86" s="198">
        <v>296.17099999999999</v>
      </c>
      <c r="L86" s="198">
        <v>296.80799999999999</v>
      </c>
      <c r="M86" s="198">
        <v>298.012</v>
      </c>
      <c r="N86" s="198">
        <v>297.71100000000001</v>
      </c>
      <c r="O86" s="198">
        <v>296.79700000000003</v>
      </c>
      <c r="P86" s="227">
        <v>292.65499999999997</v>
      </c>
    </row>
    <row r="87" spans="1:16" x14ac:dyDescent="0.25">
      <c r="C87" s="224">
        <v>2023</v>
      </c>
      <c r="D87" s="198">
        <v>299.17</v>
      </c>
      <c r="E87" s="198">
        <v>300.83999999999997</v>
      </c>
      <c r="F87" s="198">
        <v>301.83600000000001</v>
      </c>
      <c r="G87" s="198">
        <v>303.363</v>
      </c>
      <c r="H87" s="198">
        <v>304.12700000000001</v>
      </c>
      <c r="I87" s="198">
        <v>305.10899999999998</v>
      </c>
      <c r="J87" s="198">
        <v>305.69099999999997</v>
      </c>
      <c r="K87" s="198">
        <v>307.02600000000001</v>
      </c>
      <c r="L87" s="198">
        <v>307.78899999999999</v>
      </c>
      <c r="M87" s="198">
        <v>307.67099999999999</v>
      </c>
      <c r="N87" s="198">
        <v>307.05099999999999</v>
      </c>
      <c r="O87" s="198">
        <v>306.74599999999998</v>
      </c>
      <c r="P87" s="227">
        <v>304.702</v>
      </c>
    </row>
    <row r="88" spans="1:16" x14ac:dyDescent="0.25">
      <c r="C88" s="225">
        <v>2024</v>
      </c>
      <c r="D88" s="207">
        <v>308.41699999999997</v>
      </c>
      <c r="E88" s="207">
        <v>310.32600000000002</v>
      </c>
      <c r="F88" s="207">
        <v>312.33199999999999</v>
      </c>
      <c r="G88" s="207">
        <v>313.548</v>
      </c>
      <c r="H88" s="207">
        <v>314.06900000000002</v>
      </c>
      <c r="I88" s="207">
        <v>314.17500000000001</v>
      </c>
      <c r="J88" s="207">
        <v>314.54000000000002</v>
      </c>
      <c r="K88" s="207">
        <v>314.79599999999999</v>
      </c>
      <c r="L88" s="207">
        <v>315.30099999999999</v>
      </c>
      <c r="M88" s="207"/>
      <c r="N88" s="207"/>
      <c r="O88" s="207"/>
      <c r="P88" s="228"/>
    </row>
    <row r="91" spans="1:16" ht="17.25" x14ac:dyDescent="0.3">
      <c r="C91" s="45" t="s">
        <v>125</v>
      </c>
    </row>
    <row r="92" spans="1:16" ht="17.25" x14ac:dyDescent="0.3">
      <c r="A92" s="61" t="s">
        <v>48</v>
      </c>
      <c r="C92" s="8"/>
    </row>
    <row r="93" spans="1:16" x14ac:dyDescent="0.25">
      <c r="A93" s="315" t="s">
        <v>126</v>
      </c>
      <c r="C93" s="324" t="s">
        <v>127</v>
      </c>
      <c r="D93" s="325"/>
    </row>
    <row r="94" spans="1:16" x14ac:dyDescent="0.25">
      <c r="A94" s="316"/>
      <c r="C94" s="18" t="s">
        <v>60</v>
      </c>
      <c r="D94" s="78" t="s">
        <v>128</v>
      </c>
    </row>
    <row r="95" spans="1:16" x14ac:dyDescent="0.25">
      <c r="A95" s="316"/>
      <c r="C95" s="124">
        <v>2024</v>
      </c>
      <c r="D95" s="193">
        <v>0</v>
      </c>
    </row>
    <row r="96" spans="1:16" x14ac:dyDescent="0.25">
      <c r="A96" s="316"/>
      <c r="C96" s="89">
        <v>2025</v>
      </c>
      <c r="D96" s="84">
        <v>0</v>
      </c>
    </row>
    <row r="97" spans="1:6" x14ac:dyDescent="0.25">
      <c r="A97" s="316"/>
      <c r="C97" s="89">
        <v>2026</v>
      </c>
      <c r="D97" s="84">
        <v>0</v>
      </c>
    </row>
    <row r="98" spans="1:6" x14ac:dyDescent="0.25">
      <c r="A98" s="316"/>
      <c r="C98" s="89">
        <v>2027</v>
      </c>
      <c r="D98" s="84">
        <v>0</v>
      </c>
    </row>
    <row r="99" spans="1:6" x14ac:dyDescent="0.25">
      <c r="A99" s="316"/>
      <c r="C99" s="89">
        <v>2028</v>
      </c>
      <c r="D99" s="84">
        <v>0</v>
      </c>
    </row>
    <row r="100" spans="1:6" x14ac:dyDescent="0.25">
      <c r="A100" s="316"/>
      <c r="C100" s="89">
        <v>2029</v>
      </c>
      <c r="D100" s="84">
        <v>0</v>
      </c>
    </row>
    <row r="101" spans="1:6" x14ac:dyDescent="0.25">
      <c r="A101" s="317"/>
      <c r="C101" s="89">
        <v>2030</v>
      </c>
      <c r="D101" s="194">
        <v>0</v>
      </c>
    </row>
    <row r="102" spans="1:6" x14ac:dyDescent="0.25">
      <c r="A102" s="64"/>
      <c r="C102" s="89">
        <v>2031</v>
      </c>
      <c r="D102" s="195">
        <f>1/5</f>
        <v>0.2</v>
      </c>
    </row>
    <row r="103" spans="1:6" x14ac:dyDescent="0.25">
      <c r="A103" s="64"/>
      <c r="C103" s="89">
        <v>2032</v>
      </c>
      <c r="D103" s="195">
        <f t="shared" ref="D103:D106" si="4">1/5</f>
        <v>0.2</v>
      </c>
    </row>
    <row r="104" spans="1:6" x14ac:dyDescent="0.25">
      <c r="A104" s="64"/>
      <c r="C104" s="89">
        <v>2033</v>
      </c>
      <c r="D104" s="195">
        <f t="shared" si="4"/>
        <v>0.2</v>
      </c>
    </row>
    <row r="105" spans="1:6" ht="15.75" thickBot="1" x14ac:dyDescent="0.3">
      <c r="A105" s="64"/>
      <c r="C105" s="89">
        <v>2034</v>
      </c>
      <c r="D105" s="195">
        <f t="shared" si="4"/>
        <v>0.2</v>
      </c>
    </row>
    <row r="106" spans="1:6" ht="16.5" thickTop="1" thickBot="1" x14ac:dyDescent="0.3">
      <c r="A106" s="64"/>
      <c r="C106" s="90">
        <v>2035</v>
      </c>
      <c r="D106" s="196">
        <f t="shared" si="4"/>
        <v>0.2</v>
      </c>
      <c r="E106" s="197">
        <f>SUM(D95:D106)-1</f>
        <v>0</v>
      </c>
      <c r="F106" s="11" t="s">
        <v>129</v>
      </c>
    </row>
    <row r="107" spans="1:6" ht="15.75" thickTop="1" x14ac:dyDescent="0.25">
      <c r="A107" s="64"/>
      <c r="C107" s="62"/>
      <c r="D107" s="63"/>
    </row>
    <row r="108" spans="1:6" x14ac:dyDescent="0.25">
      <c r="A108" s="61" t="s">
        <v>48</v>
      </c>
      <c r="D108" s="10"/>
    </row>
    <row r="109" spans="1:6" x14ac:dyDescent="0.25">
      <c r="A109" s="315" t="s">
        <v>130</v>
      </c>
      <c r="C109" s="326" t="s">
        <v>131</v>
      </c>
      <c r="D109" s="327"/>
    </row>
    <row r="110" spans="1:6" x14ac:dyDescent="0.25">
      <c r="A110" s="316"/>
      <c r="C110" s="18" t="s">
        <v>60</v>
      </c>
      <c r="D110" s="123" t="s">
        <v>128</v>
      </c>
    </row>
    <row r="111" spans="1:6" x14ac:dyDescent="0.25">
      <c r="A111" s="316"/>
      <c r="C111" s="124">
        <v>2024</v>
      </c>
      <c r="D111" s="193">
        <v>0</v>
      </c>
    </row>
    <row r="112" spans="1:6" x14ac:dyDescent="0.25">
      <c r="A112" s="316"/>
      <c r="C112" s="89">
        <v>2025</v>
      </c>
      <c r="D112" s="84">
        <v>0</v>
      </c>
    </row>
    <row r="113" spans="1:6" x14ac:dyDescent="0.25">
      <c r="A113" s="316"/>
      <c r="C113" s="89">
        <v>2026</v>
      </c>
      <c r="D113" s="84">
        <v>0</v>
      </c>
    </row>
    <row r="114" spans="1:6" x14ac:dyDescent="0.25">
      <c r="A114" s="316"/>
      <c r="C114" s="89">
        <v>2027</v>
      </c>
      <c r="D114" s="84">
        <v>0</v>
      </c>
    </row>
    <row r="115" spans="1:6" x14ac:dyDescent="0.25">
      <c r="A115" s="316"/>
      <c r="C115" s="89">
        <v>2028</v>
      </c>
      <c r="D115" s="84">
        <v>0</v>
      </c>
    </row>
    <row r="116" spans="1:6" x14ac:dyDescent="0.25">
      <c r="A116" s="316"/>
      <c r="C116" s="89">
        <v>2029</v>
      </c>
      <c r="D116" s="84">
        <v>0</v>
      </c>
    </row>
    <row r="117" spans="1:6" x14ac:dyDescent="0.25">
      <c r="A117" s="317"/>
      <c r="C117" s="89">
        <v>2030</v>
      </c>
      <c r="D117" s="84">
        <v>0</v>
      </c>
    </row>
    <row r="118" spans="1:6" x14ac:dyDescent="0.25">
      <c r="A118" s="64"/>
      <c r="C118" s="89">
        <v>2031</v>
      </c>
      <c r="D118" s="194">
        <v>0</v>
      </c>
    </row>
    <row r="119" spans="1:6" x14ac:dyDescent="0.25">
      <c r="A119" s="64"/>
      <c r="C119" s="89">
        <v>2032</v>
      </c>
      <c r="D119" s="84">
        <v>0.1</v>
      </c>
    </row>
    <row r="120" spans="1:6" x14ac:dyDescent="0.25">
      <c r="A120" s="64"/>
      <c r="C120" s="89">
        <v>2033</v>
      </c>
      <c r="D120" s="84">
        <v>0.2</v>
      </c>
    </row>
    <row r="121" spans="1:6" ht="15.75" thickBot="1" x14ac:dyDescent="0.3">
      <c r="A121" s="64"/>
      <c r="C121" s="89">
        <v>2034</v>
      </c>
      <c r="D121" s="84">
        <v>0.3</v>
      </c>
    </row>
    <row r="122" spans="1:6" ht="16.5" thickTop="1" thickBot="1" x14ac:dyDescent="0.3">
      <c r="A122" s="64"/>
      <c r="C122" s="90">
        <v>2035</v>
      </c>
      <c r="D122" s="85">
        <v>0.4</v>
      </c>
      <c r="E122" s="197">
        <f>SUM(D111:D122)-1</f>
        <v>0</v>
      </c>
      <c r="F122" s="11" t="s">
        <v>129</v>
      </c>
    </row>
    <row r="123" spans="1:6" ht="15.75" thickTop="1" x14ac:dyDescent="0.25">
      <c r="C123" s="16"/>
      <c r="D123" s="19"/>
    </row>
    <row r="124" spans="1:6" x14ac:dyDescent="0.25">
      <c r="A124" s="61" t="s">
        <v>48</v>
      </c>
      <c r="D124" s="10"/>
    </row>
    <row r="125" spans="1:6" x14ac:dyDescent="0.25">
      <c r="A125" s="315" t="s">
        <v>132</v>
      </c>
      <c r="C125" s="326" t="s">
        <v>133</v>
      </c>
      <c r="D125" s="327"/>
    </row>
    <row r="126" spans="1:6" x14ac:dyDescent="0.25">
      <c r="A126" s="316"/>
      <c r="C126" s="18" t="s">
        <v>60</v>
      </c>
      <c r="D126" s="123" t="s">
        <v>128</v>
      </c>
    </row>
    <row r="127" spans="1:6" x14ac:dyDescent="0.25">
      <c r="A127" s="316"/>
      <c r="C127" s="124">
        <v>2024</v>
      </c>
      <c r="D127" s="193">
        <v>0</v>
      </c>
    </row>
    <row r="128" spans="1:6" x14ac:dyDescent="0.25">
      <c r="A128" s="316"/>
      <c r="C128" s="89">
        <v>2025</v>
      </c>
      <c r="D128" s="84">
        <v>0</v>
      </c>
    </row>
    <row r="129" spans="1:7" x14ac:dyDescent="0.25">
      <c r="A129" s="316"/>
      <c r="C129" s="89">
        <v>2026</v>
      </c>
      <c r="D129" s="84">
        <v>0.1</v>
      </c>
    </row>
    <row r="130" spans="1:7" x14ac:dyDescent="0.25">
      <c r="A130" s="316"/>
      <c r="C130" s="89">
        <v>2027</v>
      </c>
      <c r="D130" s="84">
        <v>0.2</v>
      </c>
    </row>
    <row r="131" spans="1:7" x14ac:dyDescent="0.25">
      <c r="A131" s="316"/>
      <c r="C131" s="89">
        <v>2028</v>
      </c>
      <c r="D131" s="84">
        <v>0.2</v>
      </c>
    </row>
    <row r="132" spans="1:7" x14ac:dyDescent="0.25">
      <c r="A132" s="316"/>
      <c r="C132" s="89">
        <v>2029</v>
      </c>
      <c r="D132" s="84">
        <v>0.2</v>
      </c>
    </row>
    <row r="133" spans="1:7" x14ac:dyDescent="0.25">
      <c r="A133" s="317"/>
      <c r="C133" s="89">
        <v>2030</v>
      </c>
      <c r="D133" s="194">
        <v>0.2</v>
      </c>
    </row>
    <row r="134" spans="1:7" x14ac:dyDescent="0.25">
      <c r="A134" s="64"/>
      <c r="C134" s="89">
        <v>2031</v>
      </c>
      <c r="D134" s="84">
        <v>0.1</v>
      </c>
    </row>
    <row r="135" spans="1:7" x14ac:dyDescent="0.25">
      <c r="A135" s="64"/>
      <c r="C135" s="89">
        <v>2032</v>
      </c>
      <c r="D135" s="84">
        <v>0</v>
      </c>
    </row>
    <row r="136" spans="1:7" x14ac:dyDescent="0.25">
      <c r="A136" s="64"/>
      <c r="C136" s="89">
        <v>2033</v>
      </c>
      <c r="D136" s="84">
        <v>0</v>
      </c>
    </row>
    <row r="137" spans="1:7" ht="15.75" thickBot="1" x14ac:dyDescent="0.3">
      <c r="A137" s="64"/>
      <c r="C137" s="89">
        <v>2034</v>
      </c>
      <c r="D137" s="84">
        <v>0</v>
      </c>
    </row>
    <row r="138" spans="1:7" ht="16.5" thickTop="1" thickBot="1" x14ac:dyDescent="0.3">
      <c r="A138" s="64"/>
      <c r="C138" s="90">
        <v>2035</v>
      </c>
      <c r="D138" s="85">
        <v>0</v>
      </c>
      <c r="E138" s="197">
        <f>SUM(D127:D138)-1</f>
        <v>0</v>
      </c>
      <c r="F138" s="11" t="s">
        <v>129</v>
      </c>
    </row>
    <row r="139" spans="1:7" ht="15.75" thickTop="1" x14ac:dyDescent="0.25"/>
    <row r="140" spans="1:7" x14ac:dyDescent="0.25">
      <c r="E140" s="2"/>
      <c r="G140" s="2"/>
    </row>
    <row r="142" spans="1:7" ht="18.75" x14ac:dyDescent="0.3">
      <c r="C142" s="6" t="s">
        <v>134</v>
      </c>
      <c r="D142" s="6"/>
      <c r="E142" s="6"/>
    </row>
    <row r="143" spans="1:7" x14ac:dyDescent="0.25">
      <c r="C143" s="125" t="s">
        <v>135</v>
      </c>
      <c r="D143" s="125" t="s">
        <v>136</v>
      </c>
    </row>
    <row r="144" spans="1:7" ht="120" x14ac:dyDescent="0.25">
      <c r="C144" s="200" t="s">
        <v>137</v>
      </c>
      <c r="D144" s="141" t="s">
        <v>138</v>
      </c>
      <c r="F144" s="21"/>
    </row>
    <row r="145" spans="1:6" x14ac:dyDescent="0.25">
      <c r="A145" s="61" t="s">
        <v>48</v>
      </c>
    </row>
    <row r="146" spans="1:6" ht="47.1" customHeight="1" x14ac:dyDescent="0.25">
      <c r="A146" s="315" t="s">
        <v>139</v>
      </c>
      <c r="C146" s="132" t="s">
        <v>60</v>
      </c>
      <c r="D146" s="142" t="s">
        <v>140</v>
      </c>
      <c r="E146" s="142" t="s">
        <v>141</v>
      </c>
    </row>
    <row r="147" spans="1:6" x14ac:dyDescent="0.25">
      <c r="A147" s="316"/>
      <c r="C147" s="145">
        <v>2023</v>
      </c>
      <c r="D147" s="148">
        <v>4.0500000000000001E-2</v>
      </c>
      <c r="E147" s="143">
        <v>3.3500000000000002E-2</v>
      </c>
      <c r="F147" s="11" t="s">
        <v>142</v>
      </c>
    </row>
    <row r="148" spans="1:6" x14ac:dyDescent="0.25">
      <c r="A148" s="316"/>
      <c r="C148" s="146">
        <v>2024</v>
      </c>
      <c r="D148" s="144">
        <v>5.8900000000000001E-2</v>
      </c>
      <c r="E148" s="144">
        <v>2.4899999999999999E-2</v>
      </c>
      <c r="F148" s="11" t="s">
        <v>143</v>
      </c>
    </row>
    <row r="149" spans="1:6" x14ac:dyDescent="0.25">
      <c r="A149" s="316"/>
      <c r="C149" s="145">
        <v>2025</v>
      </c>
      <c r="D149" s="148">
        <v>4.2200000000000001E-2</v>
      </c>
      <c r="E149" s="143">
        <v>1.89E-2</v>
      </c>
    </row>
    <row r="150" spans="1:6" x14ac:dyDescent="0.25">
      <c r="A150" s="316"/>
      <c r="C150" s="146">
        <v>2026</v>
      </c>
      <c r="D150" s="144">
        <v>3.7499999999999999E-2</v>
      </c>
      <c r="E150" s="144">
        <v>1.8499999999999999E-2</v>
      </c>
    </row>
    <row r="151" spans="1:6" x14ac:dyDescent="0.25">
      <c r="A151" s="316"/>
      <c r="C151" s="146">
        <v>2027</v>
      </c>
      <c r="D151" s="144">
        <v>3.6999999999999998E-2</v>
      </c>
      <c r="E151" s="144">
        <v>1.8499999999999999E-2</v>
      </c>
    </row>
    <row r="152" spans="1:6" x14ac:dyDescent="0.25">
      <c r="A152" s="316"/>
      <c r="C152" s="146">
        <v>2028</v>
      </c>
      <c r="D152" s="144">
        <v>3.7600000000000001E-2</v>
      </c>
      <c r="E152" s="144">
        <v>1.8599999999999998E-2</v>
      </c>
    </row>
    <row r="153" spans="1:6" x14ac:dyDescent="0.25">
      <c r="A153" s="316"/>
      <c r="C153" s="146">
        <v>2029</v>
      </c>
      <c r="D153" s="144">
        <v>3.8600000000000002E-2</v>
      </c>
      <c r="E153" s="144">
        <v>1.89E-2</v>
      </c>
    </row>
    <row r="154" spans="1:6" x14ac:dyDescent="0.25">
      <c r="A154" s="317"/>
      <c r="C154" s="146">
        <v>2030</v>
      </c>
      <c r="D154" s="144">
        <v>3.9699999999999999E-2</v>
      </c>
      <c r="E154" s="144">
        <v>1.9099999999999999E-2</v>
      </c>
    </row>
    <row r="155" spans="1:6" x14ac:dyDescent="0.25">
      <c r="C155" s="146">
        <v>2031</v>
      </c>
      <c r="D155" s="144">
        <v>4.0899999999999999E-2</v>
      </c>
      <c r="E155" s="144">
        <v>1.9199999999999998E-2</v>
      </c>
    </row>
    <row r="156" spans="1:6" x14ac:dyDescent="0.25">
      <c r="C156" s="146">
        <v>2032</v>
      </c>
      <c r="D156" s="144">
        <v>4.2099999999999999E-2</v>
      </c>
      <c r="E156" s="203">
        <v>1.9300000000000001E-2</v>
      </c>
    </row>
    <row r="157" spans="1:6" x14ac:dyDescent="0.25">
      <c r="C157" s="146">
        <v>2033</v>
      </c>
      <c r="D157" s="202">
        <v>4.3200000000000002E-2</v>
      </c>
      <c r="E157" s="201">
        <v>1.9299999999999998E-2</v>
      </c>
    </row>
    <row r="158" spans="1:6" x14ac:dyDescent="0.25">
      <c r="C158" s="146">
        <v>2034</v>
      </c>
      <c r="D158" s="201">
        <v>4.4199999999999996E-2</v>
      </c>
      <c r="E158" s="201">
        <v>1.9400000000000001E-2</v>
      </c>
    </row>
    <row r="159" spans="1:6" x14ac:dyDescent="0.25">
      <c r="C159" s="147">
        <v>2035</v>
      </c>
      <c r="D159" s="204">
        <v>4.5100000000000001E-2</v>
      </c>
      <c r="E159" s="204">
        <v>1.9400000000000001E-2</v>
      </c>
    </row>
  </sheetData>
  <mergeCells count="16">
    <mergeCell ref="E7:E10"/>
    <mergeCell ref="E11:E15"/>
    <mergeCell ref="C93:D93"/>
    <mergeCell ref="C109:D109"/>
    <mergeCell ref="C125:D125"/>
    <mergeCell ref="E16:E20"/>
    <mergeCell ref="A109:A117"/>
    <mergeCell ref="A146:A154"/>
    <mergeCell ref="A4:A15"/>
    <mergeCell ref="A25:A26"/>
    <mergeCell ref="A49:A54"/>
    <mergeCell ref="A59:A64"/>
    <mergeCell ref="A93:A101"/>
    <mergeCell ref="A125:A133"/>
    <mergeCell ref="A32:A44"/>
    <mergeCell ref="A69:A74"/>
  </mergeCells>
  <phoneticPr fontId="12" type="noConversion"/>
  <hyperlinks>
    <hyperlink ref="C144" r:id="rId1" xr:uid="{ABEDE216-8B43-46C5-98E6-A3BAEE6B89FD}"/>
    <hyperlink ref="D60" r:id="rId2" xr:uid="{C840D315-18E3-4DE5-822C-B76C82DA366C}"/>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6EC5E-E26A-4334-BE02-A6D2896F7FFF}">
  <sheetPr codeName="Sheet2">
    <tabColor theme="9"/>
  </sheetPr>
  <dimension ref="A1:AJ75"/>
  <sheetViews>
    <sheetView zoomScale="70" zoomScaleNormal="70" workbookViewId="0">
      <selection activeCell="Z27" sqref="Z27"/>
    </sheetView>
  </sheetViews>
  <sheetFormatPr defaultRowHeight="15" x14ac:dyDescent="0.25"/>
  <cols>
    <col min="1" max="1" width="30.5703125" customWidth="1"/>
    <col min="2" max="2" width="4.5703125" customWidth="1"/>
    <col min="3" max="3" width="30.5703125" style="3" customWidth="1"/>
    <col min="4" max="6" width="30.5703125" style="15" customWidth="1"/>
    <col min="7" max="7" width="30.5703125" customWidth="1"/>
    <col min="9" max="9" width="11.85546875" customWidth="1"/>
    <col min="10" max="14" width="30.5703125" customWidth="1"/>
    <col min="17" max="21" width="30.5703125" customWidth="1"/>
    <col min="24" max="28" width="30.5703125" customWidth="1"/>
    <col min="31" max="35" width="30.5703125" customWidth="1"/>
  </cols>
  <sheetData>
    <row r="1" spans="1:8" ht="16.5" thickTop="1" thickBot="1" x14ac:dyDescent="0.3">
      <c r="C1" s="3" t="s">
        <v>45</v>
      </c>
      <c r="D1" t="s">
        <v>56</v>
      </c>
      <c r="E1" s="197" t="e">
        <f ca="1">Checks!$D$17</f>
        <v>#VALUE!</v>
      </c>
      <c r="F1" t="s">
        <v>57</v>
      </c>
      <c r="G1" s="197">
        <f>SUM(E24:AJ24)</f>
        <v>0</v>
      </c>
    </row>
    <row r="2" spans="1:8" ht="19.5" thickTop="1" x14ac:dyDescent="0.3">
      <c r="C2" s="14" t="s">
        <v>144</v>
      </c>
    </row>
    <row r="3" spans="1:8" x14ac:dyDescent="0.25">
      <c r="A3" s="61" t="s">
        <v>48</v>
      </c>
    </row>
    <row r="4" spans="1:8" ht="30" x14ac:dyDescent="0.25">
      <c r="A4" s="315" t="s">
        <v>145</v>
      </c>
      <c r="D4" s="155" t="s">
        <v>60</v>
      </c>
      <c r="E4" s="182" t="s">
        <v>61</v>
      </c>
      <c r="F4" s="183" t="s">
        <v>146</v>
      </c>
      <c r="G4" s="184" t="s">
        <v>63</v>
      </c>
      <c r="H4" s="4"/>
    </row>
    <row r="5" spans="1:8" ht="14.45" customHeight="1" x14ac:dyDescent="0.25">
      <c r="A5" s="316"/>
      <c r="D5" s="124">
        <v>2021</v>
      </c>
      <c r="E5" s="49">
        <f>Inputs!D6</f>
        <v>75.175579810526386</v>
      </c>
      <c r="F5" s="93">
        <f>Inputs!D6</f>
        <v>75.175579810526386</v>
      </c>
      <c r="G5" s="50">
        <f>Inputs!F6</f>
        <v>73.384011668940204</v>
      </c>
    </row>
    <row r="6" spans="1:8" x14ac:dyDescent="0.25">
      <c r="A6" s="316"/>
      <c r="D6" s="89">
        <v>2022</v>
      </c>
      <c r="E6" s="229">
        <f>Inputs!D7</f>
        <v>75.037292718643911</v>
      </c>
      <c r="F6" s="229">
        <f>Inputs!$E$7/4</f>
        <v>72.5</v>
      </c>
      <c r="G6" s="51">
        <f>Inputs!F7</f>
        <v>73.144556751398184</v>
      </c>
    </row>
    <row r="7" spans="1:8" x14ac:dyDescent="0.25">
      <c r="A7" s="316"/>
      <c r="D7" s="89">
        <v>2023</v>
      </c>
      <c r="E7" s="229">
        <f>Inputs!D8</f>
        <v>74.76677573916615</v>
      </c>
      <c r="F7" s="229">
        <f>Inputs!$E$7/4</f>
        <v>72.5</v>
      </c>
      <c r="G7" s="51">
        <f>Inputs!F8</f>
        <v>72.936119601411562</v>
      </c>
    </row>
    <row r="8" spans="1:8" x14ac:dyDescent="0.25">
      <c r="A8" s="316"/>
      <c r="D8" s="89">
        <v>2024</v>
      </c>
      <c r="E8" s="229">
        <f>Inputs!D9</f>
        <v>73.961131653521065</v>
      </c>
      <c r="F8" s="229">
        <f>Inputs!$E$7/4</f>
        <v>72.5</v>
      </c>
      <c r="G8" s="51">
        <f>Inputs!F9</f>
        <v>71.441625963684885</v>
      </c>
    </row>
    <row r="9" spans="1:8" x14ac:dyDescent="0.25">
      <c r="A9" s="316"/>
      <c r="D9" s="89">
        <v>2025</v>
      </c>
      <c r="E9" s="229">
        <f>Inputs!D10</f>
        <v>69.811816032374779</v>
      </c>
      <c r="F9" s="229">
        <f>Inputs!$E$7/4</f>
        <v>72.5</v>
      </c>
      <c r="G9" s="51">
        <f>Inputs!F10</f>
        <v>67.959928957129591</v>
      </c>
    </row>
    <row r="10" spans="1:8" x14ac:dyDescent="0.25">
      <c r="A10" s="316"/>
      <c r="D10" s="89">
        <v>2026</v>
      </c>
      <c r="E10" s="229">
        <f>Inputs!D11</f>
        <v>67.872728569736935</v>
      </c>
      <c r="F10" s="229">
        <f>Inputs!$E$11/5</f>
        <v>61</v>
      </c>
      <c r="G10" s="51">
        <f>Inputs!F11</f>
        <v>65.665921312767324</v>
      </c>
    </row>
    <row r="11" spans="1:8" x14ac:dyDescent="0.25">
      <c r="A11" s="316"/>
      <c r="D11" s="89">
        <v>2027</v>
      </c>
      <c r="E11" s="229">
        <f>Inputs!D12</f>
        <v>65.746038985799686</v>
      </c>
      <c r="F11" s="229">
        <f>Inputs!$E$11/5</f>
        <v>61</v>
      </c>
      <c r="G11" s="51">
        <f>Inputs!F12</f>
        <v>63.124868547013598</v>
      </c>
      <c r="H11" s="4"/>
    </row>
    <row r="12" spans="1:8" x14ac:dyDescent="0.25">
      <c r="A12" s="316"/>
      <c r="D12" s="89">
        <v>2028</v>
      </c>
      <c r="E12" s="229">
        <f>Inputs!D13</f>
        <v>63.139796435112046</v>
      </c>
      <c r="F12" s="229">
        <f>Inputs!$E$11/5</f>
        <v>61</v>
      </c>
      <c r="G12" s="51">
        <f>Inputs!F13</f>
        <v>60.005951345231722</v>
      </c>
      <c r="H12" s="4"/>
    </row>
    <row r="13" spans="1:8" x14ac:dyDescent="0.25">
      <c r="A13" s="316"/>
      <c r="D13" s="89">
        <v>2029</v>
      </c>
      <c r="E13" s="230">
        <f>Inputs!D14</f>
        <v>60.606718231413737</v>
      </c>
      <c r="F13" s="229">
        <f>Inputs!$E$11/5</f>
        <v>61</v>
      </c>
      <c r="G13" s="51">
        <f>Inputs!F14</f>
        <v>56.834727379614236</v>
      </c>
      <c r="H13" s="4"/>
    </row>
    <row r="14" spans="1:8" x14ac:dyDescent="0.25">
      <c r="A14" s="317"/>
      <c r="D14" s="89">
        <v>2030</v>
      </c>
      <c r="E14" s="230">
        <f>Inputs!D15</f>
        <v>58.997522767825963</v>
      </c>
      <c r="F14" s="229">
        <f>Inputs!$E$11/5</f>
        <v>61</v>
      </c>
      <c r="G14" s="51">
        <f>Inputs!F15</f>
        <v>54.458576547608551</v>
      </c>
      <c r="H14" s="4"/>
    </row>
    <row r="15" spans="1:8" x14ac:dyDescent="0.25">
      <c r="A15" s="219"/>
      <c r="D15" s="89">
        <v>2031</v>
      </c>
      <c r="E15" s="229">
        <f>Inputs!D16</f>
        <v>48</v>
      </c>
      <c r="F15" s="229">
        <f>Inputs!$E$16/5</f>
        <v>48</v>
      </c>
      <c r="G15" s="51">
        <f>Inputs!F16</f>
        <v>48</v>
      </c>
      <c r="H15" s="4"/>
    </row>
    <row r="16" spans="1:8" x14ac:dyDescent="0.25">
      <c r="A16" s="219"/>
      <c r="D16" s="89">
        <v>2032</v>
      </c>
      <c r="E16" s="229">
        <f>Inputs!D17</f>
        <v>48</v>
      </c>
      <c r="F16" s="229">
        <f>Inputs!$E$16/5</f>
        <v>48</v>
      </c>
      <c r="G16" s="51">
        <f>Inputs!F17</f>
        <v>48</v>
      </c>
      <c r="H16" s="4"/>
    </row>
    <row r="17" spans="1:36" x14ac:dyDescent="0.25">
      <c r="A17" s="219"/>
      <c r="D17" s="89">
        <v>2033</v>
      </c>
      <c r="E17" s="230">
        <f>Inputs!D18</f>
        <v>48</v>
      </c>
      <c r="F17" s="229">
        <f>Inputs!$E$16/5</f>
        <v>48</v>
      </c>
      <c r="G17" s="51">
        <f>Inputs!F18</f>
        <v>48</v>
      </c>
      <c r="H17" s="4"/>
    </row>
    <row r="18" spans="1:36" x14ac:dyDescent="0.25">
      <c r="A18" s="219"/>
      <c r="D18" s="89">
        <v>2034</v>
      </c>
      <c r="E18" s="229">
        <f>Inputs!D19</f>
        <v>48</v>
      </c>
      <c r="F18" s="229">
        <f>Inputs!$E$16/5</f>
        <v>48</v>
      </c>
      <c r="G18" s="51">
        <f>Inputs!F19</f>
        <v>48</v>
      </c>
      <c r="H18" s="4"/>
    </row>
    <row r="19" spans="1:36" x14ac:dyDescent="0.25">
      <c r="A19" s="219"/>
      <c r="D19" s="90">
        <v>2035</v>
      </c>
      <c r="E19" s="52">
        <f>Inputs!D20</f>
        <v>48</v>
      </c>
      <c r="F19" s="52">
        <f>Inputs!$E$16/5</f>
        <v>48</v>
      </c>
      <c r="G19" s="53">
        <f>Inputs!F20</f>
        <v>48</v>
      </c>
      <c r="H19" s="4"/>
      <c r="I19" t="s">
        <v>62</v>
      </c>
      <c r="J19">
        <v>670.18</v>
      </c>
    </row>
    <row r="20" spans="1:36" x14ac:dyDescent="0.25">
      <c r="C20"/>
      <c r="D20"/>
      <c r="E20" s="229"/>
      <c r="F20" s="229"/>
      <c r="G20" s="229"/>
      <c r="H20" s="4"/>
      <c r="I20" t="s">
        <v>147</v>
      </c>
      <c r="J20">
        <v>571</v>
      </c>
    </row>
    <row r="22" spans="1:36" s="279" customFormat="1" x14ac:dyDescent="0.25">
      <c r="C22" s="282" t="s">
        <v>148</v>
      </c>
      <c r="E22" s="280"/>
      <c r="F22" s="280"/>
      <c r="G22" s="280"/>
      <c r="H22" s="281"/>
    </row>
    <row r="23" spans="1:36" ht="15.75" thickBot="1" x14ac:dyDescent="0.3">
      <c r="A23" s="64"/>
      <c r="D23" s="22" t="s">
        <v>149</v>
      </c>
      <c r="E23" s="231">
        <f>Inputs!D$38/100</f>
        <v>0.51</v>
      </c>
      <c r="F23" s="65"/>
      <c r="G23" s="65"/>
      <c r="H23" s="4"/>
      <c r="J23" s="3"/>
      <c r="K23" s="22" t="s">
        <v>150</v>
      </c>
      <c r="L23" s="263">
        <f>Inputs!E$38</f>
        <v>55</v>
      </c>
      <c r="M23" s="65"/>
      <c r="N23" s="65"/>
      <c r="O23" s="4"/>
      <c r="Q23" s="3"/>
      <c r="R23" s="22" t="s">
        <v>151</v>
      </c>
      <c r="S23" s="263">
        <f>Inputs!F$38</f>
        <v>60</v>
      </c>
      <c r="T23" s="65"/>
      <c r="U23" s="65"/>
      <c r="V23" s="4"/>
      <c r="X23" s="3"/>
      <c r="Y23" s="22" t="s">
        <v>152</v>
      </c>
      <c r="Z23" s="263">
        <f>Inputs!G$38</f>
        <v>65</v>
      </c>
      <c r="AA23" s="65"/>
      <c r="AB23" s="65"/>
      <c r="AC23" s="4"/>
      <c r="AE23" s="3"/>
      <c r="AF23" s="22" t="s">
        <v>153</v>
      </c>
      <c r="AG23" s="263">
        <f>Inputs!H$38</f>
        <v>70</v>
      </c>
      <c r="AH23" s="65"/>
      <c r="AI23" s="65"/>
      <c r="AJ23" s="4"/>
    </row>
    <row r="24" spans="1:36" ht="16.5" thickTop="1" thickBot="1" x14ac:dyDescent="0.3">
      <c r="A24" s="61" t="s">
        <v>48</v>
      </c>
      <c r="C24" s="240" t="s">
        <v>154</v>
      </c>
      <c r="D24" s="16"/>
      <c r="E24" s="238">
        <f>E25-SUM(Inputs!$D$16:$D$20)</f>
        <v>0</v>
      </c>
      <c r="F24" s="238">
        <f>F25-Inputs!$E$16</f>
        <v>0</v>
      </c>
      <c r="G24" s="238">
        <f>G25-SUM(Inputs!$F$16:$F$20)</f>
        <v>0</v>
      </c>
      <c r="H24" s="197">
        <f>SUM(H25:H74)</f>
        <v>0</v>
      </c>
      <c r="K24" s="16"/>
      <c r="L24" s="238">
        <f>L25-SUM(Inputs!$D$16:$D$20)</f>
        <v>0</v>
      </c>
      <c r="M24" s="238">
        <f>M25-Inputs!$E$16</f>
        <v>0</v>
      </c>
      <c r="N24" s="238">
        <f>N25-SUM(Inputs!$F$16:$F$20)</f>
        <v>0</v>
      </c>
      <c r="O24" s="197">
        <f>SUM(O25:O74)</f>
        <v>0</v>
      </c>
      <c r="R24" s="16"/>
      <c r="S24" s="238">
        <f>S25-SUM(Inputs!$D$16:$D$20)</f>
        <v>0</v>
      </c>
      <c r="T24" s="238">
        <f>T25-Inputs!$E$16</f>
        <v>0</v>
      </c>
      <c r="U24" s="238">
        <f>U25-SUM(Inputs!$F$16:$F$20)</f>
        <v>0</v>
      </c>
      <c r="V24" s="197">
        <f>SUM(V25:V74)</f>
        <v>0</v>
      </c>
      <c r="Y24" s="16"/>
      <c r="Z24" s="238">
        <f>Z25-SUM(Inputs!$D$16:$D$20)</f>
        <v>0</v>
      </c>
      <c r="AA24" s="238">
        <f>AA25-Inputs!$E$16</f>
        <v>0</v>
      </c>
      <c r="AB24" s="238">
        <f>AB25-SUM(Inputs!$F$16:$F$20)</f>
        <v>0</v>
      </c>
      <c r="AC24" s="197">
        <f>SUM(AC25:AC74)</f>
        <v>0</v>
      </c>
      <c r="AF24" s="16"/>
      <c r="AG24" s="238">
        <f>AG25-SUM(Inputs!$D$16:$D$20)</f>
        <v>0</v>
      </c>
      <c r="AH24" s="238">
        <f>AH25-Inputs!$E$16</f>
        <v>0</v>
      </c>
      <c r="AI24" s="238">
        <f>AI25-SUM(Inputs!$F$16:$F$20)</f>
        <v>0</v>
      </c>
      <c r="AJ24" s="197">
        <f>SUM(AJ25:AJ74)</f>
        <v>0</v>
      </c>
    </row>
    <row r="25" spans="1:36" ht="31.5" thickTop="1" thickBot="1" x14ac:dyDescent="0.3">
      <c r="A25" s="315" t="s">
        <v>155</v>
      </c>
      <c r="C25" s="239" t="s">
        <v>156</v>
      </c>
      <c r="D25" s="232" t="s">
        <v>157</v>
      </c>
      <c r="E25" s="83">
        <f>SUM($E$15:$E$19)</f>
        <v>240</v>
      </c>
      <c r="F25" s="83">
        <f>SUM($F$15:$F$19)</f>
        <v>240</v>
      </c>
      <c r="G25" s="83">
        <f>SUM($G$15:$G$19)</f>
        <v>240</v>
      </c>
      <c r="H25" s="4"/>
      <c r="J25" s="239" t="s">
        <v>156</v>
      </c>
      <c r="K25" s="232" t="s">
        <v>157</v>
      </c>
      <c r="L25" s="83">
        <f>SUM($E$15:$E$19)</f>
        <v>240</v>
      </c>
      <c r="M25" s="83">
        <f>SUM($F$15:$F$19)</f>
        <v>240</v>
      </c>
      <c r="N25" s="83">
        <f>SUM($G$15:$G$19)</f>
        <v>240</v>
      </c>
      <c r="O25" s="4"/>
      <c r="Q25" s="239" t="s">
        <v>156</v>
      </c>
      <c r="R25" s="232" t="s">
        <v>157</v>
      </c>
      <c r="S25" s="83">
        <f>SUM($E$15:$E$19)</f>
        <v>240</v>
      </c>
      <c r="T25" s="83">
        <f>SUM($F$15:$F$19)</f>
        <v>240</v>
      </c>
      <c r="U25" s="83">
        <f>SUM($G$15:$G$19)</f>
        <v>240</v>
      </c>
      <c r="V25" s="4"/>
      <c r="X25" s="239" t="s">
        <v>156</v>
      </c>
      <c r="Y25" s="232" t="s">
        <v>157</v>
      </c>
      <c r="Z25" s="83">
        <f>SUM($E$15:$E$19)</f>
        <v>240</v>
      </c>
      <c r="AA25" s="83">
        <f>SUM($F$15:$F$19)</f>
        <v>240</v>
      </c>
      <c r="AB25" s="83">
        <f>SUM($G$15:$G$19)</f>
        <v>240</v>
      </c>
      <c r="AC25" s="4"/>
      <c r="AE25" s="239" t="s">
        <v>156</v>
      </c>
      <c r="AF25" s="232" t="s">
        <v>157</v>
      </c>
      <c r="AG25" s="83">
        <f>SUM($E$15:$E$19)</f>
        <v>240</v>
      </c>
      <c r="AH25" s="83">
        <f>SUM($F$15:$F$19)</f>
        <v>240</v>
      </c>
      <c r="AI25" s="83">
        <f>SUM($G$15:$G$19)</f>
        <v>240</v>
      </c>
      <c r="AJ25" s="4"/>
    </row>
    <row r="26" spans="1:36" ht="16.5" thickTop="1" thickBot="1" x14ac:dyDescent="0.3">
      <c r="A26" s="316"/>
      <c r="D26" s="18" t="s">
        <v>158</v>
      </c>
      <c r="E26" s="83">
        <f>-Inputs!$D$40</f>
        <v>-240</v>
      </c>
      <c r="F26" s="83">
        <f>-Inputs!$D$40</f>
        <v>-240</v>
      </c>
      <c r="G26" s="83">
        <f>-Inputs!$D$40</f>
        <v>-240</v>
      </c>
      <c r="H26" s="197">
        <f>E26*2-F26-G26</f>
        <v>0</v>
      </c>
      <c r="J26" s="3"/>
      <c r="K26" s="18" t="s">
        <v>158</v>
      </c>
      <c r="L26" s="83">
        <f>-Inputs!$E$40</f>
        <v>-230.33739956971735</v>
      </c>
      <c r="M26" s="83">
        <f>-Inputs!$E$40</f>
        <v>-230.33739956971735</v>
      </c>
      <c r="N26" s="83">
        <f>-Inputs!$E$40</f>
        <v>-230.33739956971735</v>
      </c>
      <c r="O26" s="197">
        <f>L26*2-M26-N26</f>
        <v>0</v>
      </c>
      <c r="Q26" s="3"/>
      <c r="R26" s="18" t="s">
        <v>158</v>
      </c>
      <c r="S26" s="83">
        <f>-Inputs!$F$40</f>
        <v>-217.34509295085988</v>
      </c>
      <c r="T26" s="83">
        <f>-Inputs!$F$40</f>
        <v>-217.34509295085988</v>
      </c>
      <c r="U26" s="83">
        <f>-Inputs!$F$40</f>
        <v>-217.34509295085988</v>
      </c>
      <c r="V26" s="197">
        <f>S26*2-T26-U26</f>
        <v>0</v>
      </c>
      <c r="X26" s="3"/>
      <c r="Y26" s="18" t="s">
        <v>158</v>
      </c>
      <c r="Z26" s="83">
        <f>-Inputs!$G$40</f>
        <v>-204.35278633200238</v>
      </c>
      <c r="AA26" s="83">
        <f>-Inputs!$G$40</f>
        <v>-204.35278633200238</v>
      </c>
      <c r="AB26" s="83">
        <f>-Inputs!$G$40</f>
        <v>-204.35278633200238</v>
      </c>
      <c r="AC26" s="197">
        <f>Z26*2-AA26-AB26</f>
        <v>0</v>
      </c>
      <c r="AE26" s="3"/>
      <c r="AF26" s="18" t="s">
        <v>158</v>
      </c>
      <c r="AG26" s="83">
        <f>-Inputs!$H$40</f>
        <v>-191.36047971314491</v>
      </c>
      <c r="AH26" s="83">
        <f>-Inputs!$H$40</f>
        <v>-191.36047971314491</v>
      </c>
      <c r="AI26" s="83">
        <f>-Inputs!$H$40</f>
        <v>-191.36047971314491</v>
      </c>
      <c r="AJ26" s="197">
        <f>AG26*2-AH26-AI26</f>
        <v>0</v>
      </c>
    </row>
    <row r="27" spans="1:36" ht="65.25" customHeight="1" thickTop="1" x14ac:dyDescent="0.25">
      <c r="A27" s="317"/>
      <c r="D27" s="150" t="s">
        <v>159</v>
      </c>
      <c r="E27" s="149">
        <f>E25+E26</f>
        <v>0</v>
      </c>
      <c r="F27" s="149">
        <f>F25+F26</f>
        <v>0</v>
      </c>
      <c r="G27" s="149">
        <f>G25+G26</f>
        <v>0</v>
      </c>
      <c r="H27" s="4"/>
      <c r="J27" s="3"/>
      <c r="K27" s="150" t="s">
        <v>159</v>
      </c>
      <c r="L27" s="149">
        <f>L25+L26</f>
        <v>9.6626004302826516</v>
      </c>
      <c r="M27" s="149">
        <f>M25+M26</f>
        <v>9.6626004302826516</v>
      </c>
      <c r="N27" s="149">
        <f>N25+N26</f>
        <v>9.6626004302826516</v>
      </c>
      <c r="O27" s="4"/>
      <c r="Q27" s="3"/>
      <c r="R27" s="150" t="s">
        <v>159</v>
      </c>
      <c r="S27" s="149">
        <f>S25+S26</f>
        <v>22.654907049140121</v>
      </c>
      <c r="T27" s="149">
        <f>T25+T26</f>
        <v>22.654907049140121</v>
      </c>
      <c r="U27" s="149">
        <f>U25+U26</f>
        <v>22.654907049140121</v>
      </c>
      <c r="V27" s="4"/>
      <c r="X27" s="3"/>
      <c r="Y27" s="150" t="s">
        <v>159</v>
      </c>
      <c r="Z27" s="149">
        <f>Z25+Z26</f>
        <v>35.647213667997619</v>
      </c>
      <c r="AA27" s="149">
        <f>AA25+AA26</f>
        <v>35.647213667997619</v>
      </c>
      <c r="AB27" s="149">
        <f>AB25+AB26</f>
        <v>35.647213667997619</v>
      </c>
      <c r="AC27" s="4"/>
      <c r="AE27" s="3"/>
      <c r="AF27" s="150" t="s">
        <v>159</v>
      </c>
      <c r="AG27" s="149">
        <f>AG25+AG26</f>
        <v>48.639520286855088</v>
      </c>
      <c r="AH27" s="149">
        <f>AH25+AH26</f>
        <v>48.639520286855088</v>
      </c>
      <c r="AI27" s="149">
        <f>AI25+AI26</f>
        <v>48.639520286855088</v>
      </c>
      <c r="AJ27" s="4"/>
    </row>
    <row r="28" spans="1:36" x14ac:dyDescent="0.25">
      <c r="J28" s="3"/>
      <c r="K28" s="15"/>
      <c r="L28" s="15"/>
      <c r="M28" s="15"/>
      <c r="Q28" s="3"/>
      <c r="R28" s="15"/>
      <c r="S28" s="15"/>
      <c r="T28" s="15"/>
      <c r="X28" s="3"/>
      <c r="Y28" s="15"/>
      <c r="Z28" s="15"/>
      <c r="AA28" s="15"/>
      <c r="AE28" s="3"/>
      <c r="AF28" s="15"/>
      <c r="AG28" s="15"/>
      <c r="AH28" s="15"/>
    </row>
    <row r="29" spans="1:36" x14ac:dyDescent="0.25">
      <c r="J29" s="3"/>
      <c r="K29" s="15"/>
      <c r="L29" s="15"/>
      <c r="M29" s="15"/>
      <c r="Q29" s="3"/>
      <c r="R29" s="15"/>
      <c r="S29" s="15"/>
      <c r="T29" s="15"/>
      <c r="X29" s="3"/>
      <c r="Y29" s="15"/>
      <c r="Z29" s="15"/>
      <c r="AA29" s="15"/>
      <c r="AE29" s="3"/>
      <c r="AF29" s="15"/>
      <c r="AG29" s="15"/>
      <c r="AH29" s="15"/>
    </row>
    <row r="30" spans="1:36" ht="17.25" x14ac:dyDescent="0.3">
      <c r="C30" s="45" t="s">
        <v>160</v>
      </c>
      <c r="E30"/>
      <c r="F30"/>
      <c r="J30" s="45" t="s">
        <v>160</v>
      </c>
      <c r="K30" s="15"/>
      <c r="Q30" s="45" t="s">
        <v>160</v>
      </c>
      <c r="R30" s="15"/>
      <c r="X30" s="45" t="s">
        <v>160</v>
      </c>
      <c r="Y30" s="15"/>
      <c r="AE30" s="45" t="s">
        <v>160</v>
      </c>
      <c r="AF30" s="15"/>
    </row>
    <row r="31" spans="1:36" x14ac:dyDescent="0.25">
      <c r="A31" s="61" t="s">
        <v>48</v>
      </c>
      <c r="D31"/>
      <c r="G31" s="15"/>
      <c r="H31" s="15"/>
      <c r="J31" s="3"/>
      <c r="L31" s="15"/>
      <c r="M31" s="15"/>
      <c r="N31" s="15"/>
      <c r="O31" s="15"/>
      <c r="Q31" s="3"/>
      <c r="S31" s="15"/>
      <c r="T31" s="15"/>
      <c r="U31" s="15"/>
      <c r="V31" s="15"/>
      <c r="X31" s="3"/>
      <c r="Z31" s="15"/>
      <c r="AA31" s="15"/>
      <c r="AB31" s="15"/>
      <c r="AC31" s="15"/>
      <c r="AE31" s="3"/>
      <c r="AG31" s="15"/>
      <c r="AH31" s="15"/>
      <c r="AI31" s="15"/>
      <c r="AJ31" s="15"/>
    </row>
    <row r="32" spans="1:36" ht="30" x14ac:dyDescent="0.25">
      <c r="A32" s="315" t="s">
        <v>161</v>
      </c>
      <c r="C32" s="331" t="s">
        <v>162</v>
      </c>
      <c r="D32" s="233" t="s">
        <v>60</v>
      </c>
      <c r="E32" s="180" t="s">
        <v>61</v>
      </c>
      <c r="F32" s="160" t="s">
        <v>146</v>
      </c>
      <c r="G32" s="181" t="s">
        <v>63</v>
      </c>
      <c r="J32" s="331" t="s">
        <v>162</v>
      </c>
      <c r="K32" s="233" t="s">
        <v>60</v>
      </c>
      <c r="L32" s="180" t="s">
        <v>61</v>
      </c>
      <c r="M32" s="160" t="s">
        <v>146</v>
      </c>
      <c r="N32" s="181" t="s">
        <v>63</v>
      </c>
      <c r="Q32" s="331" t="s">
        <v>162</v>
      </c>
      <c r="R32" s="233" t="s">
        <v>60</v>
      </c>
      <c r="S32" s="180" t="s">
        <v>61</v>
      </c>
      <c r="T32" s="160" t="s">
        <v>146</v>
      </c>
      <c r="U32" s="181" t="s">
        <v>63</v>
      </c>
      <c r="X32" s="331" t="s">
        <v>162</v>
      </c>
      <c r="Y32" s="233" t="s">
        <v>60</v>
      </c>
      <c r="Z32" s="180" t="s">
        <v>61</v>
      </c>
      <c r="AA32" s="160" t="s">
        <v>146</v>
      </c>
      <c r="AB32" s="181" t="s">
        <v>63</v>
      </c>
      <c r="AE32" s="331" t="s">
        <v>162</v>
      </c>
      <c r="AF32" s="233" t="s">
        <v>60</v>
      </c>
      <c r="AG32" s="180" t="s">
        <v>61</v>
      </c>
      <c r="AH32" s="160" t="s">
        <v>146</v>
      </c>
      <c r="AI32" s="181" t="s">
        <v>63</v>
      </c>
    </row>
    <row r="33" spans="1:36" x14ac:dyDescent="0.25">
      <c r="A33" s="316"/>
      <c r="C33" s="332"/>
      <c r="D33" s="124">
        <v>2024</v>
      </c>
      <c r="E33" s="234">
        <f>'Calcs - Volume Scenarios'!E$27*Inputs!$D95</f>
        <v>0</v>
      </c>
      <c r="F33" s="49">
        <f>'Calcs - Volume Scenarios'!F$27*Inputs!$D95</f>
        <v>0</v>
      </c>
      <c r="G33" s="50">
        <f>'Calcs - Volume Scenarios'!G$27*Inputs!$D95</f>
        <v>0</v>
      </c>
      <c r="J33" s="332"/>
      <c r="K33" s="124">
        <v>2024</v>
      </c>
      <c r="L33" s="234">
        <f>'Calcs - Volume Scenarios'!L$27*Inputs!$D95</f>
        <v>0</v>
      </c>
      <c r="M33" s="49">
        <f>'Calcs - Volume Scenarios'!M$27*Inputs!$D95</f>
        <v>0</v>
      </c>
      <c r="N33" s="50">
        <f>'Calcs - Volume Scenarios'!N$27*Inputs!$D95</f>
        <v>0</v>
      </c>
      <c r="Q33" s="332"/>
      <c r="R33" s="124">
        <v>2024</v>
      </c>
      <c r="S33" s="234">
        <f>'Calcs - Volume Scenarios'!S$27*Inputs!$D95</f>
        <v>0</v>
      </c>
      <c r="T33" s="49">
        <f>'Calcs - Volume Scenarios'!T$27*Inputs!$D95</f>
        <v>0</v>
      </c>
      <c r="U33" s="50">
        <f>'Calcs - Volume Scenarios'!U$27*Inputs!$D95</f>
        <v>0</v>
      </c>
      <c r="X33" s="332"/>
      <c r="Y33" s="124">
        <v>2024</v>
      </c>
      <c r="Z33" s="234">
        <f>'Calcs - Volume Scenarios'!Z$27*Inputs!$D95</f>
        <v>0</v>
      </c>
      <c r="AA33" s="49">
        <f>'Calcs - Volume Scenarios'!AA$27*Inputs!$D95</f>
        <v>0</v>
      </c>
      <c r="AB33" s="50">
        <f>'Calcs - Volume Scenarios'!AB$27*Inputs!$D95</f>
        <v>0</v>
      </c>
      <c r="AE33" s="332"/>
      <c r="AF33" s="124">
        <v>2024</v>
      </c>
      <c r="AG33" s="234">
        <f>'Calcs - Volume Scenarios'!AG$27*Inputs!$D95</f>
        <v>0</v>
      </c>
      <c r="AH33" s="49">
        <f>'Calcs - Volume Scenarios'!AH$27*Inputs!$D95</f>
        <v>0</v>
      </c>
      <c r="AI33" s="50">
        <f>'Calcs - Volume Scenarios'!AI$27*Inputs!$D95</f>
        <v>0</v>
      </c>
    </row>
    <row r="34" spans="1:36" x14ac:dyDescent="0.25">
      <c r="A34" s="316"/>
      <c r="C34" s="332"/>
      <c r="D34" s="89">
        <v>2025</v>
      </c>
      <c r="E34" s="230">
        <f>'Calcs - Volume Scenarios'!E$27*Inputs!$D96</f>
        <v>0</v>
      </c>
      <c r="F34" s="229">
        <f>'Calcs - Volume Scenarios'!F$27*Inputs!$D96</f>
        <v>0</v>
      </c>
      <c r="G34" s="51">
        <f>'Calcs - Volume Scenarios'!G$27*Inputs!$D96</f>
        <v>0</v>
      </c>
      <c r="J34" s="332"/>
      <c r="K34" s="89">
        <v>2025</v>
      </c>
      <c r="L34" s="230">
        <f>'Calcs - Volume Scenarios'!L$27*Inputs!$D96</f>
        <v>0</v>
      </c>
      <c r="M34" s="229">
        <f>'Calcs - Volume Scenarios'!M$27*Inputs!$D96</f>
        <v>0</v>
      </c>
      <c r="N34" s="51">
        <f>'Calcs - Volume Scenarios'!N$27*Inputs!$D96</f>
        <v>0</v>
      </c>
      <c r="Q34" s="332"/>
      <c r="R34" s="89">
        <v>2025</v>
      </c>
      <c r="S34" s="230">
        <f>'Calcs - Volume Scenarios'!S$27*Inputs!$D96</f>
        <v>0</v>
      </c>
      <c r="T34" s="229">
        <f>'Calcs - Volume Scenarios'!T$27*Inputs!$D96</f>
        <v>0</v>
      </c>
      <c r="U34" s="51">
        <f>'Calcs - Volume Scenarios'!U$27*Inputs!$D96</f>
        <v>0</v>
      </c>
      <c r="X34" s="332"/>
      <c r="Y34" s="89">
        <v>2025</v>
      </c>
      <c r="Z34" s="230">
        <f>'Calcs - Volume Scenarios'!Z$27*Inputs!$D96</f>
        <v>0</v>
      </c>
      <c r="AA34" s="229">
        <f>'Calcs - Volume Scenarios'!AA$27*Inputs!$D96</f>
        <v>0</v>
      </c>
      <c r="AB34" s="51">
        <f>'Calcs - Volume Scenarios'!AB$27*Inputs!$D96</f>
        <v>0</v>
      </c>
      <c r="AE34" s="332"/>
      <c r="AF34" s="89">
        <v>2025</v>
      </c>
      <c r="AG34" s="230">
        <f>'Calcs - Volume Scenarios'!AG$27*Inputs!$D96</f>
        <v>0</v>
      </c>
      <c r="AH34" s="229">
        <f>'Calcs - Volume Scenarios'!AH$27*Inputs!$D96</f>
        <v>0</v>
      </c>
      <c r="AI34" s="51">
        <f>'Calcs - Volume Scenarios'!AI$27*Inputs!$D96</f>
        <v>0</v>
      </c>
    </row>
    <row r="35" spans="1:36" x14ac:dyDescent="0.25">
      <c r="A35" s="316"/>
      <c r="C35" s="332"/>
      <c r="D35" s="89">
        <v>2026</v>
      </c>
      <c r="E35" s="230">
        <f>'Calcs - Volume Scenarios'!E$27*Inputs!$D97</f>
        <v>0</v>
      </c>
      <c r="F35" s="229">
        <f>'Calcs - Volume Scenarios'!F$27*Inputs!$D97</f>
        <v>0</v>
      </c>
      <c r="G35" s="51">
        <f>'Calcs - Volume Scenarios'!G$27*Inputs!$D97</f>
        <v>0</v>
      </c>
      <c r="J35" s="332"/>
      <c r="K35" s="89">
        <v>2026</v>
      </c>
      <c r="L35" s="230">
        <f>'Calcs - Volume Scenarios'!L$27*Inputs!$D97</f>
        <v>0</v>
      </c>
      <c r="M35" s="229">
        <f>'Calcs - Volume Scenarios'!M$27*Inputs!$D97</f>
        <v>0</v>
      </c>
      <c r="N35" s="51">
        <f>'Calcs - Volume Scenarios'!N$27*Inputs!$D97</f>
        <v>0</v>
      </c>
      <c r="Q35" s="332"/>
      <c r="R35" s="89">
        <v>2026</v>
      </c>
      <c r="S35" s="230">
        <f>'Calcs - Volume Scenarios'!S$27*Inputs!$D97</f>
        <v>0</v>
      </c>
      <c r="T35" s="229">
        <f>'Calcs - Volume Scenarios'!T$27*Inputs!$D97</f>
        <v>0</v>
      </c>
      <c r="U35" s="51">
        <f>'Calcs - Volume Scenarios'!U$27*Inputs!$D97</f>
        <v>0</v>
      </c>
      <c r="X35" s="332"/>
      <c r="Y35" s="89">
        <v>2026</v>
      </c>
      <c r="Z35" s="230">
        <f>'Calcs - Volume Scenarios'!Z$27*Inputs!$D97</f>
        <v>0</v>
      </c>
      <c r="AA35" s="229">
        <f>'Calcs - Volume Scenarios'!AA$27*Inputs!$D97</f>
        <v>0</v>
      </c>
      <c r="AB35" s="51">
        <f>'Calcs - Volume Scenarios'!AB$27*Inputs!$D97</f>
        <v>0</v>
      </c>
      <c r="AE35" s="332"/>
      <c r="AF35" s="89">
        <v>2026</v>
      </c>
      <c r="AG35" s="230">
        <f>'Calcs - Volume Scenarios'!AG$27*Inputs!$D97</f>
        <v>0</v>
      </c>
      <c r="AH35" s="229">
        <f>'Calcs - Volume Scenarios'!AH$27*Inputs!$D97</f>
        <v>0</v>
      </c>
      <c r="AI35" s="51">
        <f>'Calcs - Volume Scenarios'!AI$27*Inputs!$D97</f>
        <v>0</v>
      </c>
    </row>
    <row r="36" spans="1:36" x14ac:dyDescent="0.25">
      <c r="A36" s="316"/>
      <c r="C36" s="332"/>
      <c r="D36" s="89">
        <v>2027</v>
      </c>
      <c r="E36" s="230">
        <f>'Calcs - Volume Scenarios'!E$27*Inputs!$D98</f>
        <v>0</v>
      </c>
      <c r="F36" s="229">
        <f>'Calcs - Volume Scenarios'!F$27*Inputs!$D98</f>
        <v>0</v>
      </c>
      <c r="G36" s="51">
        <f>'Calcs - Volume Scenarios'!G$27*Inputs!$D98</f>
        <v>0</v>
      </c>
      <c r="J36" s="332"/>
      <c r="K36" s="89">
        <v>2027</v>
      </c>
      <c r="L36" s="230">
        <f>'Calcs - Volume Scenarios'!L$27*Inputs!$D98</f>
        <v>0</v>
      </c>
      <c r="M36" s="229">
        <f>'Calcs - Volume Scenarios'!M$27*Inputs!$D98</f>
        <v>0</v>
      </c>
      <c r="N36" s="51">
        <f>'Calcs - Volume Scenarios'!N$27*Inputs!$D98</f>
        <v>0</v>
      </c>
      <c r="Q36" s="332"/>
      <c r="R36" s="89">
        <v>2027</v>
      </c>
      <c r="S36" s="230">
        <f>'Calcs - Volume Scenarios'!S$27*Inputs!$D98</f>
        <v>0</v>
      </c>
      <c r="T36" s="229">
        <f>'Calcs - Volume Scenarios'!T$27*Inputs!$D98</f>
        <v>0</v>
      </c>
      <c r="U36" s="51">
        <f>'Calcs - Volume Scenarios'!U$27*Inputs!$D98</f>
        <v>0</v>
      </c>
      <c r="X36" s="332"/>
      <c r="Y36" s="89">
        <v>2027</v>
      </c>
      <c r="Z36" s="230">
        <f>'Calcs - Volume Scenarios'!Z$27*Inputs!$D98</f>
        <v>0</v>
      </c>
      <c r="AA36" s="229">
        <f>'Calcs - Volume Scenarios'!AA$27*Inputs!$D98</f>
        <v>0</v>
      </c>
      <c r="AB36" s="51">
        <f>'Calcs - Volume Scenarios'!AB$27*Inputs!$D98</f>
        <v>0</v>
      </c>
      <c r="AE36" s="332"/>
      <c r="AF36" s="89">
        <v>2027</v>
      </c>
      <c r="AG36" s="230">
        <f>'Calcs - Volume Scenarios'!AG$27*Inputs!$D98</f>
        <v>0</v>
      </c>
      <c r="AH36" s="229">
        <f>'Calcs - Volume Scenarios'!AH$27*Inputs!$D98</f>
        <v>0</v>
      </c>
      <c r="AI36" s="51">
        <f>'Calcs - Volume Scenarios'!AI$27*Inputs!$D98</f>
        <v>0</v>
      </c>
    </row>
    <row r="37" spans="1:36" x14ac:dyDescent="0.25">
      <c r="A37" s="316"/>
      <c r="C37" s="332"/>
      <c r="D37" s="89">
        <v>2028</v>
      </c>
      <c r="E37" s="230">
        <f>'Calcs - Volume Scenarios'!E$27*Inputs!$D99</f>
        <v>0</v>
      </c>
      <c r="F37" s="229">
        <f>'Calcs - Volume Scenarios'!F$27*Inputs!$D99</f>
        <v>0</v>
      </c>
      <c r="G37" s="51">
        <f>'Calcs - Volume Scenarios'!G$27*Inputs!$D99</f>
        <v>0</v>
      </c>
      <c r="J37" s="332"/>
      <c r="K37" s="89">
        <v>2028</v>
      </c>
      <c r="L37" s="230">
        <f>'Calcs - Volume Scenarios'!L$27*Inputs!$D99</f>
        <v>0</v>
      </c>
      <c r="M37" s="229">
        <f>'Calcs - Volume Scenarios'!M$27*Inputs!$D99</f>
        <v>0</v>
      </c>
      <c r="N37" s="51">
        <f>'Calcs - Volume Scenarios'!N$27*Inputs!$D99</f>
        <v>0</v>
      </c>
      <c r="Q37" s="332"/>
      <c r="R37" s="89">
        <v>2028</v>
      </c>
      <c r="S37" s="230">
        <f>'Calcs - Volume Scenarios'!S$27*Inputs!$D99</f>
        <v>0</v>
      </c>
      <c r="T37" s="229">
        <f>'Calcs - Volume Scenarios'!T$27*Inputs!$D99</f>
        <v>0</v>
      </c>
      <c r="U37" s="51">
        <f>'Calcs - Volume Scenarios'!U$27*Inputs!$D99</f>
        <v>0</v>
      </c>
      <c r="X37" s="332"/>
      <c r="Y37" s="89">
        <v>2028</v>
      </c>
      <c r="Z37" s="230">
        <f>'Calcs - Volume Scenarios'!Z$27*Inputs!$D99</f>
        <v>0</v>
      </c>
      <c r="AA37" s="229">
        <f>'Calcs - Volume Scenarios'!AA$27*Inputs!$D99</f>
        <v>0</v>
      </c>
      <c r="AB37" s="51">
        <f>'Calcs - Volume Scenarios'!AB$27*Inputs!$D99</f>
        <v>0</v>
      </c>
      <c r="AE37" s="332"/>
      <c r="AF37" s="89">
        <v>2028</v>
      </c>
      <c r="AG37" s="230">
        <f>'Calcs - Volume Scenarios'!AG$27*Inputs!$D99</f>
        <v>0</v>
      </c>
      <c r="AH37" s="229">
        <f>'Calcs - Volume Scenarios'!AH$27*Inputs!$D99</f>
        <v>0</v>
      </c>
      <c r="AI37" s="51">
        <f>'Calcs - Volume Scenarios'!AI$27*Inputs!$D99</f>
        <v>0</v>
      </c>
    </row>
    <row r="38" spans="1:36" x14ac:dyDescent="0.25">
      <c r="A38" s="316"/>
      <c r="C38" s="332"/>
      <c r="D38" s="89">
        <v>2029</v>
      </c>
      <c r="E38" s="230">
        <f>'Calcs - Volume Scenarios'!E$27*Inputs!$D100</f>
        <v>0</v>
      </c>
      <c r="F38" s="229">
        <f>'Calcs - Volume Scenarios'!F$27*Inputs!$D100</f>
        <v>0</v>
      </c>
      <c r="G38" s="51">
        <f>'Calcs - Volume Scenarios'!G$27*Inputs!$D100</f>
        <v>0</v>
      </c>
      <c r="J38" s="332"/>
      <c r="K38" s="89">
        <v>2029</v>
      </c>
      <c r="L38" s="230">
        <f>'Calcs - Volume Scenarios'!L$27*Inputs!$D100</f>
        <v>0</v>
      </c>
      <c r="M38" s="229">
        <f>'Calcs - Volume Scenarios'!M$27*Inputs!$D100</f>
        <v>0</v>
      </c>
      <c r="N38" s="51">
        <f>'Calcs - Volume Scenarios'!N$27*Inputs!$D100</f>
        <v>0</v>
      </c>
      <c r="Q38" s="332"/>
      <c r="R38" s="89">
        <v>2029</v>
      </c>
      <c r="S38" s="230">
        <f>'Calcs - Volume Scenarios'!S$27*Inputs!$D100</f>
        <v>0</v>
      </c>
      <c r="T38" s="229">
        <f>'Calcs - Volume Scenarios'!T$27*Inputs!$D100</f>
        <v>0</v>
      </c>
      <c r="U38" s="51">
        <f>'Calcs - Volume Scenarios'!U$27*Inputs!$D100</f>
        <v>0</v>
      </c>
      <c r="X38" s="332"/>
      <c r="Y38" s="89">
        <v>2029</v>
      </c>
      <c r="Z38" s="230">
        <f>'Calcs - Volume Scenarios'!Z$27*Inputs!$D100</f>
        <v>0</v>
      </c>
      <c r="AA38" s="229">
        <f>'Calcs - Volume Scenarios'!AA$27*Inputs!$D100</f>
        <v>0</v>
      </c>
      <c r="AB38" s="51">
        <f>'Calcs - Volume Scenarios'!AB$27*Inputs!$D100</f>
        <v>0</v>
      </c>
      <c r="AE38" s="332"/>
      <c r="AF38" s="89">
        <v>2029</v>
      </c>
      <c r="AG38" s="230">
        <f>'Calcs - Volume Scenarios'!AG$27*Inputs!$D100</f>
        <v>0</v>
      </c>
      <c r="AH38" s="229">
        <f>'Calcs - Volume Scenarios'!AH$27*Inputs!$D100</f>
        <v>0</v>
      </c>
      <c r="AI38" s="51">
        <f>'Calcs - Volume Scenarios'!AI$27*Inputs!$D100</f>
        <v>0</v>
      </c>
    </row>
    <row r="39" spans="1:36" x14ac:dyDescent="0.25">
      <c r="A39" s="317"/>
      <c r="C39" s="332"/>
      <c r="D39" s="89">
        <v>2030</v>
      </c>
      <c r="E39" s="230">
        <f>'Calcs - Volume Scenarios'!E$27*Inputs!$D101</f>
        <v>0</v>
      </c>
      <c r="F39" s="229">
        <f>'Calcs - Volume Scenarios'!F$27*Inputs!$D101</f>
        <v>0</v>
      </c>
      <c r="G39" s="51">
        <f>'Calcs - Volume Scenarios'!G$27*Inputs!$D101</f>
        <v>0</v>
      </c>
      <c r="J39" s="332"/>
      <c r="K39" s="89">
        <v>2030</v>
      </c>
      <c r="L39" s="230">
        <f>'Calcs - Volume Scenarios'!L$27*Inputs!$D101</f>
        <v>0</v>
      </c>
      <c r="M39" s="229">
        <f>'Calcs - Volume Scenarios'!M$27*Inputs!$D101</f>
        <v>0</v>
      </c>
      <c r="N39" s="51">
        <f>'Calcs - Volume Scenarios'!N$27*Inputs!$D101</f>
        <v>0</v>
      </c>
      <c r="Q39" s="332"/>
      <c r="R39" s="89">
        <v>2030</v>
      </c>
      <c r="S39" s="230">
        <f>'Calcs - Volume Scenarios'!S$27*Inputs!$D101</f>
        <v>0</v>
      </c>
      <c r="T39" s="229">
        <f>'Calcs - Volume Scenarios'!T$27*Inputs!$D101</f>
        <v>0</v>
      </c>
      <c r="U39" s="51">
        <f>'Calcs - Volume Scenarios'!U$27*Inputs!$D101</f>
        <v>0</v>
      </c>
      <c r="X39" s="332"/>
      <c r="Y39" s="89">
        <v>2030</v>
      </c>
      <c r="Z39" s="230">
        <f>'Calcs - Volume Scenarios'!Z$27*Inputs!$D101</f>
        <v>0</v>
      </c>
      <c r="AA39" s="229">
        <f>'Calcs - Volume Scenarios'!AA$27*Inputs!$D101</f>
        <v>0</v>
      </c>
      <c r="AB39" s="51">
        <f>'Calcs - Volume Scenarios'!AB$27*Inputs!$D101</f>
        <v>0</v>
      </c>
      <c r="AE39" s="332"/>
      <c r="AF39" s="89">
        <v>2030</v>
      </c>
      <c r="AG39" s="230">
        <f>'Calcs - Volume Scenarios'!AG$27*Inputs!$D101</f>
        <v>0</v>
      </c>
      <c r="AH39" s="229">
        <f>'Calcs - Volume Scenarios'!AH$27*Inputs!$D101</f>
        <v>0</v>
      </c>
      <c r="AI39" s="51">
        <f>'Calcs - Volume Scenarios'!AI$27*Inputs!$D101</f>
        <v>0</v>
      </c>
    </row>
    <row r="40" spans="1:36" x14ac:dyDescent="0.25">
      <c r="A40" s="219"/>
      <c r="C40" s="189"/>
      <c r="D40" s="89">
        <v>2031</v>
      </c>
      <c r="E40" s="230">
        <f>'Calcs - Volume Scenarios'!E$27*Inputs!$D102</f>
        <v>0</v>
      </c>
      <c r="F40" s="229">
        <f>'Calcs - Volume Scenarios'!F$27*Inputs!$D102</f>
        <v>0</v>
      </c>
      <c r="G40" s="51">
        <f>'Calcs - Volume Scenarios'!G$27*Inputs!$D102</f>
        <v>0</v>
      </c>
      <c r="J40" s="189"/>
      <c r="K40" s="89">
        <v>2031</v>
      </c>
      <c r="L40" s="230">
        <f>'Calcs - Volume Scenarios'!L$27*Inputs!$D102</f>
        <v>1.9325200860565304</v>
      </c>
      <c r="M40" s="229">
        <f>'Calcs - Volume Scenarios'!M$27*Inputs!$D102</f>
        <v>1.9325200860565304</v>
      </c>
      <c r="N40" s="51">
        <f>'Calcs - Volume Scenarios'!N$27*Inputs!$D102</f>
        <v>1.9325200860565304</v>
      </c>
      <c r="Q40" s="189"/>
      <c r="R40" s="89">
        <v>2031</v>
      </c>
      <c r="S40" s="230">
        <f>'Calcs - Volume Scenarios'!S$27*Inputs!$D102</f>
        <v>4.5309814098280246</v>
      </c>
      <c r="T40" s="229">
        <f>'Calcs - Volume Scenarios'!T$27*Inputs!$D102</f>
        <v>4.5309814098280246</v>
      </c>
      <c r="U40" s="51">
        <f>'Calcs - Volume Scenarios'!U$27*Inputs!$D102</f>
        <v>4.5309814098280246</v>
      </c>
      <c r="X40" s="189"/>
      <c r="Y40" s="89">
        <v>2031</v>
      </c>
      <c r="Z40" s="230">
        <f>'Calcs - Volume Scenarios'!Z$27*Inputs!$D102</f>
        <v>7.1294427335995243</v>
      </c>
      <c r="AA40" s="229">
        <f>'Calcs - Volume Scenarios'!AA$27*Inputs!$D102</f>
        <v>7.1294427335995243</v>
      </c>
      <c r="AB40" s="51">
        <f>'Calcs - Volume Scenarios'!AB$27*Inputs!$D102</f>
        <v>7.1294427335995243</v>
      </c>
      <c r="AE40" s="189"/>
      <c r="AF40" s="89">
        <v>2031</v>
      </c>
      <c r="AG40" s="230">
        <f>'Calcs - Volume Scenarios'!AG$27*Inputs!$D102</f>
        <v>9.7279040573710187</v>
      </c>
      <c r="AH40" s="229">
        <f>'Calcs - Volume Scenarios'!AH$27*Inputs!$D102</f>
        <v>9.7279040573710187</v>
      </c>
      <c r="AI40" s="51">
        <f>'Calcs - Volume Scenarios'!AI$27*Inputs!$D102</f>
        <v>9.7279040573710187</v>
      </c>
    </row>
    <row r="41" spans="1:36" x14ac:dyDescent="0.25">
      <c r="A41" s="219"/>
      <c r="C41" s="189"/>
      <c r="D41" s="89">
        <v>2032</v>
      </c>
      <c r="E41" s="230">
        <f>'Calcs - Volume Scenarios'!E$27*Inputs!$D103</f>
        <v>0</v>
      </c>
      <c r="F41" s="229">
        <f>'Calcs - Volume Scenarios'!F$27*Inputs!$D103</f>
        <v>0</v>
      </c>
      <c r="G41" s="51">
        <f>'Calcs - Volume Scenarios'!G$27*Inputs!$D103</f>
        <v>0</v>
      </c>
      <c r="J41" s="189"/>
      <c r="K41" s="89">
        <v>2032</v>
      </c>
      <c r="L41" s="230">
        <f>'Calcs - Volume Scenarios'!L$27*Inputs!$D103</f>
        <v>1.9325200860565304</v>
      </c>
      <c r="M41" s="229">
        <f>'Calcs - Volume Scenarios'!M$27*Inputs!$D103</f>
        <v>1.9325200860565304</v>
      </c>
      <c r="N41" s="51">
        <f>'Calcs - Volume Scenarios'!N$27*Inputs!$D103</f>
        <v>1.9325200860565304</v>
      </c>
      <c r="Q41" s="189"/>
      <c r="R41" s="89">
        <v>2032</v>
      </c>
      <c r="S41" s="230">
        <f>'Calcs - Volume Scenarios'!S$27*Inputs!$D103</f>
        <v>4.5309814098280246</v>
      </c>
      <c r="T41" s="229">
        <f>'Calcs - Volume Scenarios'!T$27*Inputs!$D103</f>
        <v>4.5309814098280246</v>
      </c>
      <c r="U41" s="51">
        <f>'Calcs - Volume Scenarios'!U$27*Inputs!$D103</f>
        <v>4.5309814098280246</v>
      </c>
      <c r="X41" s="189"/>
      <c r="Y41" s="89">
        <v>2032</v>
      </c>
      <c r="Z41" s="230">
        <f>'Calcs - Volume Scenarios'!Z$27*Inputs!$D103</f>
        <v>7.1294427335995243</v>
      </c>
      <c r="AA41" s="229">
        <f>'Calcs - Volume Scenarios'!AA$27*Inputs!$D103</f>
        <v>7.1294427335995243</v>
      </c>
      <c r="AB41" s="51">
        <f>'Calcs - Volume Scenarios'!AB$27*Inputs!$D103</f>
        <v>7.1294427335995243</v>
      </c>
      <c r="AE41" s="189"/>
      <c r="AF41" s="89">
        <v>2032</v>
      </c>
      <c r="AG41" s="230">
        <f>'Calcs - Volume Scenarios'!AG$27*Inputs!$D103</f>
        <v>9.7279040573710187</v>
      </c>
      <c r="AH41" s="229">
        <f>'Calcs - Volume Scenarios'!AH$27*Inputs!$D103</f>
        <v>9.7279040573710187</v>
      </c>
      <c r="AI41" s="51">
        <f>'Calcs - Volume Scenarios'!AI$27*Inputs!$D103</f>
        <v>9.7279040573710187</v>
      </c>
    </row>
    <row r="42" spans="1:36" x14ac:dyDescent="0.25">
      <c r="A42" s="219"/>
      <c r="C42" s="189"/>
      <c r="D42" s="89">
        <v>2033</v>
      </c>
      <c r="E42" s="230">
        <f>'Calcs - Volume Scenarios'!E$27*Inputs!$D104</f>
        <v>0</v>
      </c>
      <c r="F42" s="229">
        <f>'Calcs - Volume Scenarios'!F$27*Inputs!$D104</f>
        <v>0</v>
      </c>
      <c r="G42" s="51">
        <f>'Calcs - Volume Scenarios'!G$27*Inputs!$D104</f>
        <v>0</v>
      </c>
      <c r="J42" s="189"/>
      <c r="K42" s="89">
        <v>2033</v>
      </c>
      <c r="L42" s="230">
        <f>'Calcs - Volume Scenarios'!L$27*Inputs!$D104</f>
        <v>1.9325200860565304</v>
      </c>
      <c r="M42" s="229">
        <f>'Calcs - Volume Scenarios'!M$27*Inputs!$D104</f>
        <v>1.9325200860565304</v>
      </c>
      <c r="N42" s="51">
        <f>'Calcs - Volume Scenarios'!N$27*Inputs!$D104</f>
        <v>1.9325200860565304</v>
      </c>
      <c r="Q42" s="189"/>
      <c r="R42" s="89">
        <v>2033</v>
      </c>
      <c r="S42" s="230">
        <f>'Calcs - Volume Scenarios'!S$27*Inputs!$D104</f>
        <v>4.5309814098280246</v>
      </c>
      <c r="T42" s="229">
        <f>'Calcs - Volume Scenarios'!T$27*Inputs!$D104</f>
        <v>4.5309814098280246</v>
      </c>
      <c r="U42" s="51">
        <f>'Calcs - Volume Scenarios'!U$27*Inputs!$D104</f>
        <v>4.5309814098280246</v>
      </c>
      <c r="X42" s="189"/>
      <c r="Y42" s="89">
        <v>2033</v>
      </c>
      <c r="Z42" s="230">
        <f>'Calcs - Volume Scenarios'!Z$27*Inputs!$D104</f>
        <v>7.1294427335995243</v>
      </c>
      <c r="AA42" s="229">
        <f>'Calcs - Volume Scenarios'!AA$27*Inputs!$D104</f>
        <v>7.1294427335995243</v>
      </c>
      <c r="AB42" s="51">
        <f>'Calcs - Volume Scenarios'!AB$27*Inputs!$D104</f>
        <v>7.1294427335995243</v>
      </c>
      <c r="AE42" s="189"/>
      <c r="AF42" s="89">
        <v>2033</v>
      </c>
      <c r="AG42" s="230">
        <f>'Calcs - Volume Scenarios'!AG$27*Inputs!$D104</f>
        <v>9.7279040573710187</v>
      </c>
      <c r="AH42" s="229">
        <f>'Calcs - Volume Scenarios'!AH$27*Inputs!$D104</f>
        <v>9.7279040573710187</v>
      </c>
      <c r="AI42" s="51">
        <f>'Calcs - Volume Scenarios'!AI$27*Inputs!$D104</f>
        <v>9.7279040573710187</v>
      </c>
    </row>
    <row r="43" spans="1:36" ht="15.75" thickBot="1" x14ac:dyDescent="0.3">
      <c r="A43" s="219"/>
      <c r="C43" s="189"/>
      <c r="D43" s="89">
        <v>2034</v>
      </c>
      <c r="E43" s="230">
        <f>'Calcs - Volume Scenarios'!E$27*Inputs!$D105</f>
        <v>0</v>
      </c>
      <c r="F43" s="229">
        <f>'Calcs - Volume Scenarios'!F$27*Inputs!$D105</f>
        <v>0</v>
      </c>
      <c r="G43" s="51">
        <f>'Calcs - Volume Scenarios'!G$27*Inputs!$D105</f>
        <v>0</v>
      </c>
      <c r="J43" s="189"/>
      <c r="K43" s="89">
        <v>2034</v>
      </c>
      <c r="L43" s="230">
        <f>'Calcs - Volume Scenarios'!L$27*Inputs!$D105</f>
        <v>1.9325200860565304</v>
      </c>
      <c r="M43" s="229">
        <f>'Calcs - Volume Scenarios'!M$27*Inputs!$D105</f>
        <v>1.9325200860565304</v>
      </c>
      <c r="N43" s="51">
        <f>'Calcs - Volume Scenarios'!N$27*Inputs!$D105</f>
        <v>1.9325200860565304</v>
      </c>
      <c r="Q43" s="189"/>
      <c r="R43" s="89">
        <v>2034</v>
      </c>
      <c r="S43" s="230">
        <f>'Calcs - Volume Scenarios'!S$27*Inputs!$D105</f>
        <v>4.5309814098280246</v>
      </c>
      <c r="T43" s="229">
        <f>'Calcs - Volume Scenarios'!T$27*Inputs!$D105</f>
        <v>4.5309814098280246</v>
      </c>
      <c r="U43" s="51">
        <f>'Calcs - Volume Scenarios'!U$27*Inputs!$D105</f>
        <v>4.5309814098280246</v>
      </c>
      <c r="X43" s="189"/>
      <c r="Y43" s="89">
        <v>2034</v>
      </c>
      <c r="Z43" s="230">
        <f>'Calcs - Volume Scenarios'!Z$27*Inputs!$D105</f>
        <v>7.1294427335995243</v>
      </c>
      <c r="AA43" s="229">
        <f>'Calcs - Volume Scenarios'!AA$27*Inputs!$D105</f>
        <v>7.1294427335995243</v>
      </c>
      <c r="AB43" s="51">
        <f>'Calcs - Volume Scenarios'!AB$27*Inputs!$D105</f>
        <v>7.1294427335995243</v>
      </c>
      <c r="AE43" s="189"/>
      <c r="AF43" s="89">
        <v>2034</v>
      </c>
      <c r="AG43" s="230">
        <f>'Calcs - Volume Scenarios'!AG$27*Inputs!$D105</f>
        <v>9.7279040573710187</v>
      </c>
      <c r="AH43" s="229">
        <f>'Calcs - Volume Scenarios'!AH$27*Inputs!$D105</f>
        <v>9.7279040573710187</v>
      </c>
      <c r="AI43" s="51">
        <f>'Calcs - Volume Scenarios'!AI$27*Inputs!$D105</f>
        <v>9.7279040573710187</v>
      </c>
    </row>
    <row r="44" spans="1:36" ht="16.5" thickTop="1" thickBot="1" x14ac:dyDescent="0.3">
      <c r="A44" s="219"/>
      <c r="C44" s="190"/>
      <c r="D44" s="90">
        <v>2035</v>
      </c>
      <c r="E44" s="235">
        <f>'Calcs - Volume Scenarios'!E$27*Inputs!$D106</f>
        <v>0</v>
      </c>
      <c r="F44" s="52">
        <f>'Calcs - Volume Scenarios'!F$27*Inputs!$D106</f>
        <v>0</v>
      </c>
      <c r="G44" s="53">
        <f>'Calcs - Volume Scenarios'!G$27*Inputs!$D106</f>
        <v>0</v>
      </c>
      <c r="H44" s="197">
        <f>SUM(E33:E44, F33:F44, G33:G44)-SUM(E$27:G$27)</f>
        <v>0</v>
      </c>
      <c r="J44" s="190"/>
      <c r="K44" s="90">
        <v>2035</v>
      </c>
      <c r="L44" s="235">
        <f>'Calcs - Volume Scenarios'!L$27*Inputs!$D106</f>
        <v>1.9325200860565304</v>
      </c>
      <c r="M44" s="52">
        <f>'Calcs - Volume Scenarios'!M$27*Inputs!$D106</f>
        <v>1.9325200860565304</v>
      </c>
      <c r="N44" s="53">
        <f>'Calcs - Volume Scenarios'!N$27*Inputs!$D106</f>
        <v>1.9325200860565304</v>
      </c>
      <c r="O44" s="197">
        <f>SUM(L33:L44, M33:M44, N33:N44)-SUM(L$27:N$27)</f>
        <v>0</v>
      </c>
      <c r="Q44" s="190"/>
      <c r="R44" s="90">
        <v>2035</v>
      </c>
      <c r="S44" s="235">
        <f>'Calcs - Volume Scenarios'!S$27*Inputs!$D106</f>
        <v>4.5309814098280246</v>
      </c>
      <c r="T44" s="52">
        <f>'Calcs - Volume Scenarios'!T$27*Inputs!$D106</f>
        <v>4.5309814098280246</v>
      </c>
      <c r="U44" s="53">
        <f>'Calcs - Volume Scenarios'!U$27*Inputs!$D106</f>
        <v>4.5309814098280246</v>
      </c>
      <c r="V44" s="197">
        <f>SUM(S33:S44, T33:T44, U33:U44)-SUM(S$27:U$27)</f>
        <v>0</v>
      </c>
      <c r="X44" s="190"/>
      <c r="Y44" s="90">
        <v>2035</v>
      </c>
      <c r="Z44" s="235">
        <f>'Calcs - Volume Scenarios'!Z$27*Inputs!$D106</f>
        <v>7.1294427335995243</v>
      </c>
      <c r="AA44" s="52">
        <f>'Calcs - Volume Scenarios'!AA$27*Inputs!$D106</f>
        <v>7.1294427335995243</v>
      </c>
      <c r="AB44" s="53">
        <f>'Calcs - Volume Scenarios'!AB$27*Inputs!$D106</f>
        <v>7.1294427335995243</v>
      </c>
      <c r="AC44" s="197">
        <f>SUM(Z33:Z44, AA33:AA44, AB33:AB44)-SUM(Z$27:AB$27)</f>
        <v>0</v>
      </c>
      <c r="AE44" s="190"/>
      <c r="AF44" s="90">
        <v>2035</v>
      </c>
      <c r="AG44" s="235">
        <f>'Calcs - Volume Scenarios'!AG$27*Inputs!$D106</f>
        <v>9.7279040573710187</v>
      </c>
      <c r="AH44" s="52">
        <f>'Calcs - Volume Scenarios'!AH$27*Inputs!$D106</f>
        <v>9.7279040573710187</v>
      </c>
      <c r="AI44" s="53">
        <f>'Calcs - Volume Scenarios'!AI$27*Inputs!$D106</f>
        <v>9.7279040573710187</v>
      </c>
      <c r="AJ44" s="197">
        <f>SUM(AG33:AG44, AH33:AH44, AI33:AI44)-SUM(AG$27:AI$27)</f>
        <v>0</v>
      </c>
    </row>
    <row r="45" spans="1:36" ht="15.75" thickTop="1" x14ac:dyDescent="0.25">
      <c r="J45" s="3"/>
      <c r="K45" s="15"/>
      <c r="L45" s="15"/>
      <c r="M45" s="15"/>
      <c r="Q45" s="3"/>
      <c r="R45" s="15"/>
      <c r="S45" s="15"/>
      <c r="T45" s="15"/>
      <c r="X45" s="3"/>
      <c r="Y45" s="15"/>
      <c r="Z45" s="15"/>
      <c r="AA45" s="15"/>
      <c r="AE45" s="3"/>
      <c r="AF45" s="15"/>
      <c r="AG45" s="15"/>
      <c r="AH45" s="15"/>
    </row>
    <row r="46" spans="1:36" x14ac:dyDescent="0.25">
      <c r="A46" s="61" t="s">
        <v>48</v>
      </c>
      <c r="J46" s="3"/>
      <c r="K46" s="15"/>
      <c r="L46" s="15"/>
      <c r="M46" s="15"/>
      <c r="Q46" s="3"/>
      <c r="R46" s="15"/>
      <c r="S46" s="15"/>
      <c r="T46" s="15"/>
      <c r="X46" s="3"/>
      <c r="Y46" s="15"/>
      <c r="Z46" s="15"/>
      <c r="AA46" s="15"/>
      <c r="AE46" s="3"/>
      <c r="AF46" s="15"/>
      <c r="AG46" s="15"/>
      <c r="AH46" s="15"/>
    </row>
    <row r="47" spans="1:36" ht="30" x14ac:dyDescent="0.25">
      <c r="A47" s="315" t="s">
        <v>163</v>
      </c>
      <c r="C47" s="331" t="s">
        <v>164</v>
      </c>
      <c r="D47" s="132" t="s">
        <v>60</v>
      </c>
      <c r="E47" s="180" t="s">
        <v>61</v>
      </c>
      <c r="F47" s="160" t="s">
        <v>146</v>
      </c>
      <c r="G47" s="181" t="s">
        <v>63</v>
      </c>
      <c r="J47" s="331" t="s">
        <v>164</v>
      </c>
      <c r="K47" s="132" t="s">
        <v>60</v>
      </c>
      <c r="L47" s="180" t="s">
        <v>61</v>
      </c>
      <c r="M47" s="160" t="s">
        <v>146</v>
      </c>
      <c r="N47" s="181" t="s">
        <v>63</v>
      </c>
      <c r="Q47" s="331" t="s">
        <v>164</v>
      </c>
      <c r="R47" s="132" t="s">
        <v>60</v>
      </c>
      <c r="S47" s="180" t="s">
        <v>61</v>
      </c>
      <c r="T47" s="160" t="s">
        <v>146</v>
      </c>
      <c r="U47" s="181" t="s">
        <v>63</v>
      </c>
      <c r="X47" s="331" t="s">
        <v>164</v>
      </c>
      <c r="Y47" s="132" t="s">
        <v>60</v>
      </c>
      <c r="Z47" s="180" t="s">
        <v>61</v>
      </c>
      <c r="AA47" s="160" t="s">
        <v>146</v>
      </c>
      <c r="AB47" s="181" t="s">
        <v>63</v>
      </c>
      <c r="AE47" s="331" t="s">
        <v>164</v>
      </c>
      <c r="AF47" s="132" t="s">
        <v>60</v>
      </c>
      <c r="AG47" s="180" t="s">
        <v>61</v>
      </c>
      <c r="AH47" s="160" t="s">
        <v>146</v>
      </c>
      <c r="AI47" s="181" t="s">
        <v>63</v>
      </c>
    </row>
    <row r="48" spans="1:36" x14ac:dyDescent="0.25">
      <c r="A48" s="316"/>
      <c r="C48" s="332"/>
      <c r="D48" s="124">
        <v>2024</v>
      </c>
      <c r="E48" s="234">
        <f>'Calcs - Volume Scenarios'!E$27*Inputs!$D111</f>
        <v>0</v>
      </c>
      <c r="F48" s="49">
        <f>'Calcs - Volume Scenarios'!F$27*Inputs!$D111</f>
        <v>0</v>
      </c>
      <c r="G48" s="50">
        <f>'Calcs - Volume Scenarios'!G$27*Inputs!$D111</f>
        <v>0</v>
      </c>
      <c r="J48" s="332"/>
      <c r="K48" s="124">
        <v>2024</v>
      </c>
      <c r="L48" s="234">
        <f>'Calcs - Volume Scenarios'!L$27*Inputs!$D111</f>
        <v>0</v>
      </c>
      <c r="M48" s="49">
        <f>'Calcs - Volume Scenarios'!M$27*Inputs!$D111</f>
        <v>0</v>
      </c>
      <c r="N48" s="50">
        <f>'Calcs - Volume Scenarios'!N$27*Inputs!$D111</f>
        <v>0</v>
      </c>
      <c r="Q48" s="332"/>
      <c r="R48" s="124">
        <v>2024</v>
      </c>
      <c r="S48" s="234">
        <f>'Calcs - Volume Scenarios'!S$27*Inputs!$D111</f>
        <v>0</v>
      </c>
      <c r="T48" s="49">
        <f>'Calcs - Volume Scenarios'!T$27*Inputs!$D111</f>
        <v>0</v>
      </c>
      <c r="U48" s="50">
        <f>'Calcs - Volume Scenarios'!U$27*Inputs!$D111</f>
        <v>0</v>
      </c>
      <c r="X48" s="332"/>
      <c r="Y48" s="124">
        <v>2024</v>
      </c>
      <c r="Z48" s="234">
        <f>'Calcs - Volume Scenarios'!Z$27*Inputs!$D111</f>
        <v>0</v>
      </c>
      <c r="AA48" s="49">
        <f>'Calcs - Volume Scenarios'!AA$27*Inputs!$D111</f>
        <v>0</v>
      </c>
      <c r="AB48" s="50">
        <f>'Calcs - Volume Scenarios'!AB$27*Inputs!$D111</f>
        <v>0</v>
      </c>
      <c r="AE48" s="332"/>
      <c r="AF48" s="124">
        <v>2024</v>
      </c>
      <c r="AG48" s="234">
        <f>'Calcs - Volume Scenarios'!AG$27*Inputs!$D111</f>
        <v>0</v>
      </c>
      <c r="AH48" s="49">
        <f>'Calcs - Volume Scenarios'!AH$27*Inputs!$D111</f>
        <v>0</v>
      </c>
      <c r="AI48" s="50">
        <f>'Calcs - Volume Scenarios'!AI$27*Inputs!$D111</f>
        <v>0</v>
      </c>
    </row>
    <row r="49" spans="1:36" x14ac:dyDescent="0.25">
      <c r="A49" s="316"/>
      <c r="C49" s="332"/>
      <c r="D49" s="89">
        <v>2025</v>
      </c>
      <c r="E49" s="230">
        <f>'Calcs - Volume Scenarios'!E$27*Inputs!$D112</f>
        <v>0</v>
      </c>
      <c r="F49" s="229">
        <f>'Calcs - Volume Scenarios'!F$27*Inputs!$D112</f>
        <v>0</v>
      </c>
      <c r="G49" s="51">
        <f>'Calcs - Volume Scenarios'!G$27*Inputs!$D112</f>
        <v>0</v>
      </c>
      <c r="J49" s="332"/>
      <c r="K49" s="89">
        <v>2025</v>
      </c>
      <c r="L49" s="230">
        <f>'Calcs - Volume Scenarios'!L$27*Inputs!$D112</f>
        <v>0</v>
      </c>
      <c r="M49" s="229">
        <f>'Calcs - Volume Scenarios'!M$27*Inputs!$D112</f>
        <v>0</v>
      </c>
      <c r="N49" s="51">
        <f>'Calcs - Volume Scenarios'!N$27*Inputs!$D112</f>
        <v>0</v>
      </c>
      <c r="Q49" s="332"/>
      <c r="R49" s="89">
        <v>2025</v>
      </c>
      <c r="S49" s="230">
        <f>'Calcs - Volume Scenarios'!S$27*Inputs!$D112</f>
        <v>0</v>
      </c>
      <c r="T49" s="229">
        <f>'Calcs - Volume Scenarios'!T$27*Inputs!$D112</f>
        <v>0</v>
      </c>
      <c r="U49" s="51">
        <f>'Calcs - Volume Scenarios'!U$27*Inputs!$D112</f>
        <v>0</v>
      </c>
      <c r="X49" s="332"/>
      <c r="Y49" s="89">
        <v>2025</v>
      </c>
      <c r="Z49" s="230">
        <f>'Calcs - Volume Scenarios'!Z$27*Inputs!$D112</f>
        <v>0</v>
      </c>
      <c r="AA49" s="229">
        <f>'Calcs - Volume Scenarios'!AA$27*Inputs!$D112</f>
        <v>0</v>
      </c>
      <c r="AB49" s="51">
        <f>'Calcs - Volume Scenarios'!AB$27*Inputs!$D112</f>
        <v>0</v>
      </c>
      <c r="AE49" s="332"/>
      <c r="AF49" s="89">
        <v>2025</v>
      </c>
      <c r="AG49" s="230">
        <f>'Calcs - Volume Scenarios'!AG$27*Inputs!$D112</f>
        <v>0</v>
      </c>
      <c r="AH49" s="229">
        <f>'Calcs - Volume Scenarios'!AH$27*Inputs!$D112</f>
        <v>0</v>
      </c>
      <c r="AI49" s="51">
        <f>'Calcs - Volume Scenarios'!AI$27*Inputs!$D112</f>
        <v>0</v>
      </c>
    </row>
    <row r="50" spans="1:36" x14ac:dyDescent="0.25">
      <c r="A50" s="316"/>
      <c r="C50" s="332"/>
      <c r="D50" s="89">
        <v>2026</v>
      </c>
      <c r="E50" s="230">
        <f>'Calcs - Volume Scenarios'!E$27*Inputs!$D113</f>
        <v>0</v>
      </c>
      <c r="F50" s="229">
        <f>'Calcs - Volume Scenarios'!F$27*Inputs!$D113</f>
        <v>0</v>
      </c>
      <c r="G50" s="51">
        <f>'Calcs - Volume Scenarios'!G$27*Inputs!$D113</f>
        <v>0</v>
      </c>
      <c r="J50" s="332"/>
      <c r="K50" s="89">
        <v>2026</v>
      </c>
      <c r="L50" s="230">
        <f>'Calcs - Volume Scenarios'!L$27*Inputs!$D113</f>
        <v>0</v>
      </c>
      <c r="M50" s="229">
        <f>'Calcs - Volume Scenarios'!M$27*Inputs!$D113</f>
        <v>0</v>
      </c>
      <c r="N50" s="51">
        <f>'Calcs - Volume Scenarios'!N$27*Inputs!$D113</f>
        <v>0</v>
      </c>
      <c r="Q50" s="332"/>
      <c r="R50" s="89">
        <v>2026</v>
      </c>
      <c r="S50" s="230">
        <f>'Calcs - Volume Scenarios'!S$27*Inputs!$D113</f>
        <v>0</v>
      </c>
      <c r="T50" s="229">
        <f>'Calcs - Volume Scenarios'!T$27*Inputs!$D113</f>
        <v>0</v>
      </c>
      <c r="U50" s="51">
        <f>'Calcs - Volume Scenarios'!U$27*Inputs!$D113</f>
        <v>0</v>
      </c>
      <c r="X50" s="332"/>
      <c r="Y50" s="89">
        <v>2026</v>
      </c>
      <c r="Z50" s="230">
        <f>'Calcs - Volume Scenarios'!Z$27*Inputs!$D113</f>
        <v>0</v>
      </c>
      <c r="AA50" s="229">
        <f>'Calcs - Volume Scenarios'!AA$27*Inputs!$D113</f>
        <v>0</v>
      </c>
      <c r="AB50" s="51">
        <f>'Calcs - Volume Scenarios'!AB$27*Inputs!$D113</f>
        <v>0</v>
      </c>
      <c r="AE50" s="332"/>
      <c r="AF50" s="89">
        <v>2026</v>
      </c>
      <c r="AG50" s="230">
        <f>'Calcs - Volume Scenarios'!AG$27*Inputs!$D113</f>
        <v>0</v>
      </c>
      <c r="AH50" s="229">
        <f>'Calcs - Volume Scenarios'!AH$27*Inputs!$D113</f>
        <v>0</v>
      </c>
      <c r="AI50" s="51">
        <f>'Calcs - Volume Scenarios'!AI$27*Inputs!$D113</f>
        <v>0</v>
      </c>
    </row>
    <row r="51" spans="1:36" x14ac:dyDescent="0.25">
      <c r="A51" s="316"/>
      <c r="C51" s="332"/>
      <c r="D51" s="89">
        <v>2027</v>
      </c>
      <c r="E51" s="230">
        <f>'Calcs - Volume Scenarios'!E$27*Inputs!$D114</f>
        <v>0</v>
      </c>
      <c r="F51" s="229">
        <f>'Calcs - Volume Scenarios'!F$27*Inputs!$D114</f>
        <v>0</v>
      </c>
      <c r="G51" s="51">
        <f>'Calcs - Volume Scenarios'!G$27*Inputs!$D114</f>
        <v>0</v>
      </c>
      <c r="J51" s="332"/>
      <c r="K51" s="89">
        <v>2027</v>
      </c>
      <c r="L51" s="230">
        <f>'Calcs - Volume Scenarios'!L$27*Inputs!$D114</f>
        <v>0</v>
      </c>
      <c r="M51" s="229">
        <f>'Calcs - Volume Scenarios'!M$27*Inputs!$D114</f>
        <v>0</v>
      </c>
      <c r="N51" s="51">
        <f>'Calcs - Volume Scenarios'!N$27*Inputs!$D114</f>
        <v>0</v>
      </c>
      <c r="Q51" s="332"/>
      <c r="R51" s="89">
        <v>2027</v>
      </c>
      <c r="S51" s="230">
        <f>'Calcs - Volume Scenarios'!S$27*Inputs!$D114</f>
        <v>0</v>
      </c>
      <c r="T51" s="229">
        <f>'Calcs - Volume Scenarios'!T$27*Inputs!$D114</f>
        <v>0</v>
      </c>
      <c r="U51" s="51">
        <f>'Calcs - Volume Scenarios'!U$27*Inputs!$D114</f>
        <v>0</v>
      </c>
      <c r="X51" s="332"/>
      <c r="Y51" s="89">
        <v>2027</v>
      </c>
      <c r="Z51" s="230">
        <f>'Calcs - Volume Scenarios'!Z$27*Inputs!$D114</f>
        <v>0</v>
      </c>
      <c r="AA51" s="229">
        <f>'Calcs - Volume Scenarios'!AA$27*Inputs!$D114</f>
        <v>0</v>
      </c>
      <c r="AB51" s="51">
        <f>'Calcs - Volume Scenarios'!AB$27*Inputs!$D114</f>
        <v>0</v>
      </c>
      <c r="AE51" s="332"/>
      <c r="AF51" s="89">
        <v>2027</v>
      </c>
      <c r="AG51" s="230">
        <f>'Calcs - Volume Scenarios'!AG$27*Inputs!$D114</f>
        <v>0</v>
      </c>
      <c r="AH51" s="229">
        <f>'Calcs - Volume Scenarios'!AH$27*Inputs!$D114</f>
        <v>0</v>
      </c>
      <c r="AI51" s="51">
        <f>'Calcs - Volume Scenarios'!AI$27*Inputs!$D114</f>
        <v>0</v>
      </c>
    </row>
    <row r="52" spans="1:36" x14ac:dyDescent="0.25">
      <c r="A52" s="316"/>
      <c r="C52" s="332"/>
      <c r="D52" s="89">
        <v>2028</v>
      </c>
      <c r="E52" s="230">
        <f>'Calcs - Volume Scenarios'!E$27*Inputs!$D115</f>
        <v>0</v>
      </c>
      <c r="F52" s="229">
        <f>'Calcs - Volume Scenarios'!F$27*Inputs!$D115</f>
        <v>0</v>
      </c>
      <c r="G52" s="51">
        <f>'Calcs - Volume Scenarios'!G$27*Inputs!$D115</f>
        <v>0</v>
      </c>
      <c r="J52" s="332"/>
      <c r="K52" s="89">
        <v>2028</v>
      </c>
      <c r="L52" s="230">
        <f>'Calcs - Volume Scenarios'!L$27*Inputs!$D115</f>
        <v>0</v>
      </c>
      <c r="M52" s="229">
        <f>'Calcs - Volume Scenarios'!M$27*Inputs!$D115</f>
        <v>0</v>
      </c>
      <c r="N52" s="51">
        <f>'Calcs - Volume Scenarios'!N$27*Inputs!$D115</f>
        <v>0</v>
      </c>
      <c r="Q52" s="332"/>
      <c r="R52" s="89">
        <v>2028</v>
      </c>
      <c r="S52" s="230">
        <f>'Calcs - Volume Scenarios'!S$27*Inputs!$D115</f>
        <v>0</v>
      </c>
      <c r="T52" s="229">
        <f>'Calcs - Volume Scenarios'!T$27*Inputs!$D115</f>
        <v>0</v>
      </c>
      <c r="U52" s="51">
        <f>'Calcs - Volume Scenarios'!U$27*Inputs!$D115</f>
        <v>0</v>
      </c>
      <c r="X52" s="332"/>
      <c r="Y52" s="89">
        <v>2028</v>
      </c>
      <c r="Z52" s="230">
        <f>'Calcs - Volume Scenarios'!Z$27*Inputs!$D115</f>
        <v>0</v>
      </c>
      <c r="AA52" s="229">
        <f>'Calcs - Volume Scenarios'!AA$27*Inputs!$D115</f>
        <v>0</v>
      </c>
      <c r="AB52" s="51">
        <f>'Calcs - Volume Scenarios'!AB$27*Inputs!$D115</f>
        <v>0</v>
      </c>
      <c r="AE52" s="332"/>
      <c r="AF52" s="89">
        <v>2028</v>
      </c>
      <c r="AG52" s="230">
        <f>'Calcs - Volume Scenarios'!AG$27*Inputs!$D115</f>
        <v>0</v>
      </c>
      <c r="AH52" s="229">
        <f>'Calcs - Volume Scenarios'!AH$27*Inputs!$D115</f>
        <v>0</v>
      </c>
      <c r="AI52" s="51">
        <f>'Calcs - Volume Scenarios'!AI$27*Inputs!$D115</f>
        <v>0</v>
      </c>
    </row>
    <row r="53" spans="1:36" x14ac:dyDescent="0.25">
      <c r="A53" s="316"/>
      <c r="C53" s="332"/>
      <c r="D53" s="89">
        <v>2029</v>
      </c>
      <c r="E53" s="230">
        <f>'Calcs - Volume Scenarios'!E$27*Inputs!$D116</f>
        <v>0</v>
      </c>
      <c r="F53" s="229">
        <f>'Calcs - Volume Scenarios'!F$27*Inputs!$D116</f>
        <v>0</v>
      </c>
      <c r="G53" s="51">
        <f>'Calcs - Volume Scenarios'!G$27*Inputs!$D116</f>
        <v>0</v>
      </c>
      <c r="J53" s="332"/>
      <c r="K53" s="89">
        <v>2029</v>
      </c>
      <c r="L53" s="230">
        <f>'Calcs - Volume Scenarios'!L$27*Inputs!$D116</f>
        <v>0</v>
      </c>
      <c r="M53" s="229">
        <f>'Calcs - Volume Scenarios'!M$27*Inputs!$D116</f>
        <v>0</v>
      </c>
      <c r="N53" s="51">
        <f>'Calcs - Volume Scenarios'!N$27*Inputs!$D116</f>
        <v>0</v>
      </c>
      <c r="Q53" s="332"/>
      <c r="R53" s="89">
        <v>2029</v>
      </c>
      <c r="S53" s="230">
        <f>'Calcs - Volume Scenarios'!S$27*Inputs!$D116</f>
        <v>0</v>
      </c>
      <c r="T53" s="229">
        <f>'Calcs - Volume Scenarios'!T$27*Inputs!$D116</f>
        <v>0</v>
      </c>
      <c r="U53" s="51">
        <f>'Calcs - Volume Scenarios'!U$27*Inputs!$D116</f>
        <v>0</v>
      </c>
      <c r="X53" s="332"/>
      <c r="Y53" s="89">
        <v>2029</v>
      </c>
      <c r="Z53" s="230">
        <f>'Calcs - Volume Scenarios'!Z$27*Inputs!$D116</f>
        <v>0</v>
      </c>
      <c r="AA53" s="229">
        <f>'Calcs - Volume Scenarios'!AA$27*Inputs!$D116</f>
        <v>0</v>
      </c>
      <c r="AB53" s="51">
        <f>'Calcs - Volume Scenarios'!AB$27*Inputs!$D116</f>
        <v>0</v>
      </c>
      <c r="AE53" s="332"/>
      <c r="AF53" s="89">
        <v>2029</v>
      </c>
      <c r="AG53" s="230">
        <f>'Calcs - Volume Scenarios'!AG$27*Inputs!$D116</f>
        <v>0</v>
      </c>
      <c r="AH53" s="229">
        <f>'Calcs - Volume Scenarios'!AH$27*Inputs!$D116</f>
        <v>0</v>
      </c>
      <c r="AI53" s="51">
        <f>'Calcs - Volume Scenarios'!AI$27*Inputs!$D116</f>
        <v>0</v>
      </c>
    </row>
    <row r="54" spans="1:36" x14ac:dyDescent="0.25">
      <c r="A54" s="317"/>
      <c r="C54" s="332"/>
      <c r="D54" s="89">
        <v>2030</v>
      </c>
      <c r="E54" s="230">
        <f>'Calcs - Volume Scenarios'!E$27*Inputs!$D117</f>
        <v>0</v>
      </c>
      <c r="F54" s="229">
        <f>'Calcs - Volume Scenarios'!F$27*Inputs!$D117</f>
        <v>0</v>
      </c>
      <c r="G54" s="51">
        <f>'Calcs - Volume Scenarios'!G$27*Inputs!$D117</f>
        <v>0</v>
      </c>
      <c r="J54" s="332"/>
      <c r="K54" s="89">
        <v>2030</v>
      </c>
      <c r="L54" s="230">
        <f>'Calcs - Volume Scenarios'!L$27*Inputs!$D117</f>
        <v>0</v>
      </c>
      <c r="M54" s="229">
        <f>'Calcs - Volume Scenarios'!M$27*Inputs!$D117</f>
        <v>0</v>
      </c>
      <c r="N54" s="51">
        <f>'Calcs - Volume Scenarios'!N$27*Inputs!$D117</f>
        <v>0</v>
      </c>
      <c r="Q54" s="332"/>
      <c r="R54" s="89">
        <v>2030</v>
      </c>
      <c r="S54" s="230">
        <f>'Calcs - Volume Scenarios'!S$27*Inputs!$D117</f>
        <v>0</v>
      </c>
      <c r="T54" s="229">
        <f>'Calcs - Volume Scenarios'!T$27*Inputs!$D117</f>
        <v>0</v>
      </c>
      <c r="U54" s="51">
        <f>'Calcs - Volume Scenarios'!U$27*Inputs!$D117</f>
        <v>0</v>
      </c>
      <c r="X54" s="332"/>
      <c r="Y54" s="89">
        <v>2030</v>
      </c>
      <c r="Z54" s="230">
        <f>'Calcs - Volume Scenarios'!Z$27*Inputs!$D117</f>
        <v>0</v>
      </c>
      <c r="AA54" s="229">
        <f>'Calcs - Volume Scenarios'!AA$27*Inputs!$D117</f>
        <v>0</v>
      </c>
      <c r="AB54" s="51">
        <f>'Calcs - Volume Scenarios'!AB$27*Inputs!$D117</f>
        <v>0</v>
      </c>
      <c r="AE54" s="332"/>
      <c r="AF54" s="89">
        <v>2030</v>
      </c>
      <c r="AG54" s="230">
        <f>'Calcs - Volume Scenarios'!AG$27*Inputs!$D117</f>
        <v>0</v>
      </c>
      <c r="AH54" s="229">
        <f>'Calcs - Volume Scenarios'!AH$27*Inputs!$D117</f>
        <v>0</v>
      </c>
      <c r="AI54" s="51">
        <f>'Calcs - Volume Scenarios'!AI$27*Inputs!$D117</f>
        <v>0</v>
      </c>
    </row>
    <row r="55" spans="1:36" x14ac:dyDescent="0.25">
      <c r="C55" s="236"/>
      <c r="D55" s="89">
        <v>2031</v>
      </c>
      <c r="E55" s="230">
        <f>'Calcs - Volume Scenarios'!E$27*Inputs!$D118</f>
        <v>0</v>
      </c>
      <c r="F55" s="229">
        <f>'Calcs - Volume Scenarios'!F$27*Inputs!$D118</f>
        <v>0</v>
      </c>
      <c r="G55" s="51">
        <f>'Calcs - Volume Scenarios'!G$27*Inputs!$D118</f>
        <v>0</v>
      </c>
      <c r="J55" s="236"/>
      <c r="K55" s="89">
        <v>2031</v>
      </c>
      <c r="L55" s="230">
        <f>'Calcs - Volume Scenarios'!L$27*Inputs!$D118</f>
        <v>0</v>
      </c>
      <c r="M55" s="229">
        <f>'Calcs - Volume Scenarios'!M$27*Inputs!$D118</f>
        <v>0</v>
      </c>
      <c r="N55" s="51">
        <f>'Calcs - Volume Scenarios'!N$27*Inputs!$D118</f>
        <v>0</v>
      </c>
      <c r="Q55" s="236"/>
      <c r="R55" s="89">
        <v>2031</v>
      </c>
      <c r="S55" s="230">
        <f>'Calcs - Volume Scenarios'!S$27*Inputs!$D118</f>
        <v>0</v>
      </c>
      <c r="T55" s="229">
        <f>'Calcs - Volume Scenarios'!T$27*Inputs!$D118</f>
        <v>0</v>
      </c>
      <c r="U55" s="51">
        <f>'Calcs - Volume Scenarios'!U$27*Inputs!$D118</f>
        <v>0</v>
      </c>
      <c r="X55" s="236"/>
      <c r="Y55" s="89">
        <v>2031</v>
      </c>
      <c r="Z55" s="230">
        <f>'Calcs - Volume Scenarios'!Z$27*Inputs!$D118</f>
        <v>0</v>
      </c>
      <c r="AA55" s="229">
        <f>'Calcs - Volume Scenarios'!AA$27*Inputs!$D118</f>
        <v>0</v>
      </c>
      <c r="AB55" s="51">
        <f>'Calcs - Volume Scenarios'!AB$27*Inputs!$D118</f>
        <v>0</v>
      </c>
      <c r="AE55" s="236"/>
      <c r="AF55" s="89">
        <v>2031</v>
      </c>
      <c r="AG55" s="230">
        <f>'Calcs - Volume Scenarios'!AG$27*Inputs!$D118</f>
        <v>0</v>
      </c>
      <c r="AH55" s="229">
        <f>'Calcs - Volume Scenarios'!AH$27*Inputs!$D118</f>
        <v>0</v>
      </c>
      <c r="AI55" s="51">
        <f>'Calcs - Volume Scenarios'!AI$27*Inputs!$D118</f>
        <v>0</v>
      </c>
    </row>
    <row r="56" spans="1:36" x14ac:dyDescent="0.25">
      <c r="C56" s="236"/>
      <c r="D56" s="89">
        <v>2032</v>
      </c>
      <c r="E56" s="230">
        <f>'Calcs - Volume Scenarios'!E$27*Inputs!$D119</f>
        <v>0</v>
      </c>
      <c r="F56" s="229">
        <f>'Calcs - Volume Scenarios'!F$27*Inputs!$D119</f>
        <v>0</v>
      </c>
      <c r="G56" s="51">
        <f>'Calcs - Volume Scenarios'!G$27*Inputs!$D119</f>
        <v>0</v>
      </c>
      <c r="J56" s="236"/>
      <c r="K56" s="89">
        <v>2032</v>
      </c>
      <c r="L56" s="230">
        <f>'Calcs - Volume Scenarios'!L$27*Inputs!$D119</f>
        <v>0.96626004302826518</v>
      </c>
      <c r="M56" s="229">
        <f>'Calcs - Volume Scenarios'!M$27*Inputs!$D119</f>
        <v>0.96626004302826518</v>
      </c>
      <c r="N56" s="51">
        <f>'Calcs - Volume Scenarios'!N$27*Inputs!$D119</f>
        <v>0.96626004302826518</v>
      </c>
      <c r="Q56" s="236"/>
      <c r="R56" s="89">
        <v>2032</v>
      </c>
      <c r="S56" s="230">
        <f>'Calcs - Volume Scenarios'!S$27*Inputs!$D119</f>
        <v>2.2654907049140123</v>
      </c>
      <c r="T56" s="229">
        <f>'Calcs - Volume Scenarios'!T$27*Inputs!$D119</f>
        <v>2.2654907049140123</v>
      </c>
      <c r="U56" s="51">
        <f>'Calcs - Volume Scenarios'!U$27*Inputs!$D119</f>
        <v>2.2654907049140123</v>
      </c>
      <c r="X56" s="236"/>
      <c r="Y56" s="89">
        <v>2032</v>
      </c>
      <c r="Z56" s="230">
        <f>'Calcs - Volume Scenarios'!Z$27*Inputs!$D119</f>
        <v>3.5647213667997621</v>
      </c>
      <c r="AA56" s="229">
        <f>'Calcs - Volume Scenarios'!AA$27*Inputs!$D119</f>
        <v>3.5647213667997621</v>
      </c>
      <c r="AB56" s="51">
        <f>'Calcs - Volume Scenarios'!AB$27*Inputs!$D119</f>
        <v>3.5647213667997621</v>
      </c>
      <c r="AE56" s="236"/>
      <c r="AF56" s="89">
        <v>2032</v>
      </c>
      <c r="AG56" s="230">
        <f>'Calcs - Volume Scenarios'!AG$27*Inputs!$D119</f>
        <v>4.8639520286855094</v>
      </c>
      <c r="AH56" s="229">
        <f>'Calcs - Volume Scenarios'!AH$27*Inputs!$D119</f>
        <v>4.8639520286855094</v>
      </c>
      <c r="AI56" s="51">
        <f>'Calcs - Volume Scenarios'!AI$27*Inputs!$D119</f>
        <v>4.8639520286855094</v>
      </c>
    </row>
    <row r="57" spans="1:36" x14ac:dyDescent="0.25">
      <c r="C57" s="236"/>
      <c r="D57" s="89">
        <v>2033</v>
      </c>
      <c r="E57" s="230">
        <f>'Calcs - Volume Scenarios'!E$27*Inputs!$D120</f>
        <v>0</v>
      </c>
      <c r="F57" s="229">
        <f>'Calcs - Volume Scenarios'!F$27*Inputs!$D120</f>
        <v>0</v>
      </c>
      <c r="G57" s="51">
        <f>'Calcs - Volume Scenarios'!G$27*Inputs!$D120</f>
        <v>0</v>
      </c>
      <c r="J57" s="236"/>
      <c r="K57" s="89">
        <v>2033</v>
      </c>
      <c r="L57" s="230">
        <f>'Calcs - Volume Scenarios'!L$27*Inputs!$D120</f>
        <v>1.9325200860565304</v>
      </c>
      <c r="M57" s="229">
        <f>'Calcs - Volume Scenarios'!M$27*Inputs!$D120</f>
        <v>1.9325200860565304</v>
      </c>
      <c r="N57" s="51">
        <f>'Calcs - Volume Scenarios'!N$27*Inputs!$D120</f>
        <v>1.9325200860565304</v>
      </c>
      <c r="Q57" s="236"/>
      <c r="R57" s="89">
        <v>2033</v>
      </c>
      <c r="S57" s="230">
        <f>'Calcs - Volume Scenarios'!S$27*Inputs!$D120</f>
        <v>4.5309814098280246</v>
      </c>
      <c r="T57" s="229">
        <f>'Calcs - Volume Scenarios'!T$27*Inputs!$D120</f>
        <v>4.5309814098280246</v>
      </c>
      <c r="U57" s="51">
        <f>'Calcs - Volume Scenarios'!U$27*Inputs!$D120</f>
        <v>4.5309814098280246</v>
      </c>
      <c r="X57" s="236"/>
      <c r="Y57" s="89">
        <v>2033</v>
      </c>
      <c r="Z57" s="230">
        <f>'Calcs - Volume Scenarios'!Z$27*Inputs!$D120</f>
        <v>7.1294427335995243</v>
      </c>
      <c r="AA57" s="229">
        <f>'Calcs - Volume Scenarios'!AA$27*Inputs!$D120</f>
        <v>7.1294427335995243</v>
      </c>
      <c r="AB57" s="51">
        <f>'Calcs - Volume Scenarios'!AB$27*Inputs!$D120</f>
        <v>7.1294427335995243</v>
      </c>
      <c r="AE57" s="236"/>
      <c r="AF57" s="89">
        <v>2033</v>
      </c>
      <c r="AG57" s="230">
        <f>'Calcs - Volume Scenarios'!AG$27*Inputs!$D120</f>
        <v>9.7279040573710187</v>
      </c>
      <c r="AH57" s="229">
        <f>'Calcs - Volume Scenarios'!AH$27*Inputs!$D120</f>
        <v>9.7279040573710187</v>
      </c>
      <c r="AI57" s="51">
        <f>'Calcs - Volume Scenarios'!AI$27*Inputs!$D120</f>
        <v>9.7279040573710187</v>
      </c>
    </row>
    <row r="58" spans="1:36" ht="15.75" thickBot="1" x14ac:dyDescent="0.3">
      <c r="C58" s="236"/>
      <c r="D58" s="89">
        <v>2034</v>
      </c>
      <c r="E58" s="230">
        <f>'Calcs - Volume Scenarios'!E$27*Inputs!$D121</f>
        <v>0</v>
      </c>
      <c r="F58" s="229">
        <f>'Calcs - Volume Scenarios'!F$27*Inputs!$D121</f>
        <v>0</v>
      </c>
      <c r="G58" s="51">
        <f>'Calcs - Volume Scenarios'!G$27*Inputs!$D121</f>
        <v>0</v>
      </c>
      <c r="J58" s="236"/>
      <c r="K58" s="89">
        <v>2034</v>
      </c>
      <c r="L58" s="230">
        <f>'Calcs - Volume Scenarios'!L$27*Inputs!$D121</f>
        <v>2.8987801290847952</v>
      </c>
      <c r="M58" s="229">
        <f>'Calcs - Volume Scenarios'!M$27*Inputs!$D121</f>
        <v>2.8987801290847952</v>
      </c>
      <c r="N58" s="51">
        <f>'Calcs - Volume Scenarios'!N$27*Inputs!$D121</f>
        <v>2.8987801290847952</v>
      </c>
      <c r="Q58" s="236"/>
      <c r="R58" s="89">
        <v>2034</v>
      </c>
      <c r="S58" s="230">
        <f>'Calcs - Volume Scenarios'!S$27*Inputs!$D121</f>
        <v>6.7964721147420359</v>
      </c>
      <c r="T58" s="229">
        <f>'Calcs - Volume Scenarios'!T$27*Inputs!$D121</f>
        <v>6.7964721147420359</v>
      </c>
      <c r="U58" s="51">
        <f>'Calcs - Volume Scenarios'!U$27*Inputs!$D121</f>
        <v>6.7964721147420359</v>
      </c>
      <c r="X58" s="236"/>
      <c r="Y58" s="89">
        <v>2034</v>
      </c>
      <c r="Z58" s="230">
        <f>'Calcs - Volume Scenarios'!Z$27*Inputs!$D121</f>
        <v>10.694164100399286</v>
      </c>
      <c r="AA58" s="229">
        <f>'Calcs - Volume Scenarios'!AA$27*Inputs!$D121</f>
        <v>10.694164100399286</v>
      </c>
      <c r="AB58" s="51">
        <f>'Calcs - Volume Scenarios'!AB$27*Inputs!$D121</f>
        <v>10.694164100399286</v>
      </c>
      <c r="AE58" s="236"/>
      <c r="AF58" s="89">
        <v>2034</v>
      </c>
      <c r="AG58" s="230">
        <f>'Calcs - Volume Scenarios'!AG$27*Inputs!$D121</f>
        <v>14.591856086056525</v>
      </c>
      <c r="AH58" s="229">
        <f>'Calcs - Volume Scenarios'!AH$27*Inputs!$D121</f>
        <v>14.591856086056525</v>
      </c>
      <c r="AI58" s="51">
        <f>'Calcs - Volume Scenarios'!AI$27*Inputs!$D121</f>
        <v>14.591856086056525</v>
      </c>
    </row>
    <row r="59" spans="1:36" ht="16.5" thickTop="1" thickBot="1" x14ac:dyDescent="0.3">
      <c r="C59" s="237"/>
      <c r="D59" s="90">
        <v>2035</v>
      </c>
      <c r="E59" s="235">
        <f>'Calcs - Volume Scenarios'!E$27*Inputs!$D122</f>
        <v>0</v>
      </c>
      <c r="F59" s="52">
        <f>'Calcs - Volume Scenarios'!F$27*Inputs!$D122</f>
        <v>0</v>
      </c>
      <c r="G59" s="53">
        <f>'Calcs - Volume Scenarios'!G$27*Inputs!$D122</f>
        <v>0</v>
      </c>
      <c r="H59" s="197">
        <f>SUM(E48:E59, F48:F59, G48:G59)-SUM(E$27:G$27)</f>
        <v>0</v>
      </c>
      <c r="J59" s="237"/>
      <c r="K59" s="90">
        <v>2035</v>
      </c>
      <c r="L59" s="235">
        <f>'Calcs - Volume Scenarios'!L$27*Inputs!$D122</f>
        <v>3.8650401721130607</v>
      </c>
      <c r="M59" s="52">
        <f>'Calcs - Volume Scenarios'!M$27*Inputs!$D122</f>
        <v>3.8650401721130607</v>
      </c>
      <c r="N59" s="53">
        <f>'Calcs - Volume Scenarios'!N$27*Inputs!$D122</f>
        <v>3.8650401721130607</v>
      </c>
      <c r="O59" s="197">
        <f>SUM(L48:L59, M48:M59, N48:N59)-SUM(L$27:N$27)</f>
        <v>0</v>
      </c>
      <c r="Q59" s="237"/>
      <c r="R59" s="90">
        <v>2035</v>
      </c>
      <c r="S59" s="235">
        <f>'Calcs - Volume Scenarios'!S$27*Inputs!$D122</f>
        <v>9.0619628196560491</v>
      </c>
      <c r="T59" s="52">
        <f>'Calcs - Volume Scenarios'!T$27*Inputs!$D122</f>
        <v>9.0619628196560491</v>
      </c>
      <c r="U59" s="53">
        <f>'Calcs - Volume Scenarios'!U$27*Inputs!$D122</f>
        <v>9.0619628196560491</v>
      </c>
      <c r="V59" s="197">
        <f>SUM(S48:S59, T48:T59, U48:U59)-SUM(S$27:U$27)</f>
        <v>0</v>
      </c>
      <c r="X59" s="237"/>
      <c r="Y59" s="90">
        <v>2035</v>
      </c>
      <c r="Z59" s="235">
        <f>'Calcs - Volume Scenarios'!Z$27*Inputs!$D122</f>
        <v>14.258885467199049</v>
      </c>
      <c r="AA59" s="52">
        <f>'Calcs - Volume Scenarios'!AA$27*Inputs!$D122</f>
        <v>14.258885467199049</v>
      </c>
      <c r="AB59" s="53">
        <f>'Calcs - Volume Scenarios'!AB$27*Inputs!$D122</f>
        <v>14.258885467199049</v>
      </c>
      <c r="AC59" s="197">
        <f>SUM(Z48:Z59, AA48:AA59, AB48:AB59)-SUM(Z$27:AB$27)</f>
        <v>0</v>
      </c>
      <c r="AE59" s="237"/>
      <c r="AF59" s="90">
        <v>2035</v>
      </c>
      <c r="AG59" s="235">
        <f>'Calcs - Volume Scenarios'!AG$27*Inputs!$D122</f>
        <v>19.455808114742037</v>
      </c>
      <c r="AH59" s="52">
        <f>'Calcs - Volume Scenarios'!AH$27*Inputs!$D122</f>
        <v>19.455808114742037</v>
      </c>
      <c r="AI59" s="53">
        <f>'Calcs - Volume Scenarios'!AI$27*Inputs!$D122</f>
        <v>19.455808114742037</v>
      </c>
      <c r="AJ59" s="197">
        <f>SUM(AG48:AG59, AH48:AH59, AI48:AI59)-SUM(AG$27:AI$27)</f>
        <v>0</v>
      </c>
    </row>
    <row r="60" spans="1:36" ht="15.75" thickTop="1" x14ac:dyDescent="0.25">
      <c r="J60" s="3"/>
      <c r="K60" s="15"/>
      <c r="L60" s="15"/>
      <c r="M60" s="15"/>
      <c r="Q60" s="3"/>
      <c r="R60" s="15"/>
      <c r="S60" s="15"/>
      <c r="T60" s="15"/>
      <c r="X60" s="3"/>
      <c r="Y60" s="15"/>
      <c r="Z60" s="15"/>
      <c r="AA60" s="15"/>
      <c r="AE60" s="3"/>
      <c r="AF60" s="15"/>
      <c r="AG60" s="15"/>
      <c r="AH60" s="15"/>
    </row>
    <row r="61" spans="1:36" x14ac:dyDescent="0.25">
      <c r="A61" s="61" t="s">
        <v>48</v>
      </c>
      <c r="J61" s="3"/>
      <c r="K61" s="15"/>
      <c r="L61" s="15"/>
      <c r="M61" s="15"/>
      <c r="Q61" s="3"/>
      <c r="R61" s="15"/>
      <c r="S61" s="15"/>
      <c r="T61" s="15"/>
      <c r="X61" s="3"/>
      <c r="Y61" s="15"/>
      <c r="Z61" s="15"/>
      <c r="AA61" s="15"/>
      <c r="AE61" s="3"/>
      <c r="AF61" s="15"/>
      <c r="AG61" s="15"/>
      <c r="AH61" s="15"/>
    </row>
    <row r="62" spans="1:36" ht="30" x14ac:dyDescent="0.25">
      <c r="A62" s="315" t="s">
        <v>165</v>
      </c>
      <c r="C62" s="331" t="s">
        <v>166</v>
      </c>
      <c r="D62" s="132" t="s">
        <v>60</v>
      </c>
      <c r="E62" s="182" t="s">
        <v>61</v>
      </c>
      <c r="F62" s="183" t="s">
        <v>146</v>
      </c>
      <c r="G62" s="184" t="s">
        <v>63</v>
      </c>
      <c r="J62" s="331" t="s">
        <v>166</v>
      </c>
      <c r="K62" s="132" t="s">
        <v>60</v>
      </c>
      <c r="L62" s="182" t="s">
        <v>61</v>
      </c>
      <c r="M62" s="183" t="s">
        <v>146</v>
      </c>
      <c r="N62" s="184" t="s">
        <v>63</v>
      </c>
      <c r="Q62" s="331" t="s">
        <v>166</v>
      </c>
      <c r="R62" s="132" t="s">
        <v>60</v>
      </c>
      <c r="S62" s="182" t="s">
        <v>61</v>
      </c>
      <c r="T62" s="183" t="s">
        <v>146</v>
      </c>
      <c r="U62" s="184" t="s">
        <v>63</v>
      </c>
      <c r="X62" s="331" t="s">
        <v>166</v>
      </c>
      <c r="Y62" s="132" t="s">
        <v>60</v>
      </c>
      <c r="Z62" s="182" t="s">
        <v>61</v>
      </c>
      <c r="AA62" s="183" t="s">
        <v>146</v>
      </c>
      <c r="AB62" s="184" t="s">
        <v>63</v>
      </c>
      <c r="AE62" s="331" t="s">
        <v>166</v>
      </c>
      <c r="AF62" s="132" t="s">
        <v>60</v>
      </c>
      <c r="AG62" s="182" t="s">
        <v>61</v>
      </c>
      <c r="AH62" s="183" t="s">
        <v>146</v>
      </c>
      <c r="AI62" s="184" t="s">
        <v>63</v>
      </c>
    </row>
    <row r="63" spans="1:36" x14ac:dyDescent="0.25">
      <c r="A63" s="316"/>
      <c r="C63" s="332"/>
      <c r="D63" s="42">
        <v>2024</v>
      </c>
      <c r="E63" s="234">
        <f>'Calcs - Volume Scenarios'!E$27*Inputs!$D127</f>
        <v>0</v>
      </c>
      <c r="F63" s="49">
        <f>'Calcs - Volume Scenarios'!F$27*Inputs!$D127</f>
        <v>0</v>
      </c>
      <c r="G63" s="50">
        <f>'Calcs - Volume Scenarios'!G$27*Inputs!$D127</f>
        <v>0</v>
      </c>
      <c r="J63" s="332"/>
      <c r="K63" s="42">
        <v>2024</v>
      </c>
      <c r="L63" s="234">
        <f>'Calcs - Volume Scenarios'!L$27*Inputs!$D127</f>
        <v>0</v>
      </c>
      <c r="M63" s="49">
        <f>'Calcs - Volume Scenarios'!M$27*Inputs!$D127</f>
        <v>0</v>
      </c>
      <c r="N63" s="50">
        <f>'Calcs - Volume Scenarios'!N$27*Inputs!$D127</f>
        <v>0</v>
      </c>
      <c r="Q63" s="332"/>
      <c r="R63" s="42">
        <v>2024</v>
      </c>
      <c r="S63" s="234">
        <f>'Calcs - Volume Scenarios'!S$27*Inputs!$D127</f>
        <v>0</v>
      </c>
      <c r="T63" s="49">
        <f>'Calcs - Volume Scenarios'!T$27*Inputs!$D127</f>
        <v>0</v>
      </c>
      <c r="U63" s="50">
        <f>'Calcs - Volume Scenarios'!U$27*Inputs!$D127</f>
        <v>0</v>
      </c>
      <c r="X63" s="332"/>
      <c r="Y63" s="42">
        <v>2024</v>
      </c>
      <c r="Z63" s="234">
        <f>'Calcs - Volume Scenarios'!Z$27*Inputs!$D127</f>
        <v>0</v>
      </c>
      <c r="AA63" s="49">
        <f>'Calcs - Volume Scenarios'!AA$27*Inputs!$D127</f>
        <v>0</v>
      </c>
      <c r="AB63" s="50">
        <f>'Calcs - Volume Scenarios'!AB$27*Inputs!$D127</f>
        <v>0</v>
      </c>
      <c r="AE63" s="332"/>
      <c r="AF63" s="42">
        <v>2024</v>
      </c>
      <c r="AG63" s="234">
        <f>'Calcs - Volume Scenarios'!AG$27*Inputs!$D127</f>
        <v>0</v>
      </c>
      <c r="AH63" s="49">
        <f>'Calcs - Volume Scenarios'!AH$27*Inputs!$D127</f>
        <v>0</v>
      </c>
      <c r="AI63" s="50">
        <f>'Calcs - Volume Scenarios'!AI$27*Inputs!$D127</f>
        <v>0</v>
      </c>
    </row>
    <row r="64" spans="1:36" x14ac:dyDescent="0.25">
      <c r="A64" s="316"/>
      <c r="C64" s="332"/>
      <c r="D64" s="43">
        <v>2025</v>
      </c>
      <c r="E64" s="230">
        <f>'Calcs - Volume Scenarios'!E$27*Inputs!$D128</f>
        <v>0</v>
      </c>
      <c r="F64" s="229">
        <f>'Calcs - Volume Scenarios'!F$27*Inputs!$D128</f>
        <v>0</v>
      </c>
      <c r="G64" s="51">
        <f>'Calcs - Volume Scenarios'!G$27*Inputs!$D128</f>
        <v>0</v>
      </c>
      <c r="J64" s="332"/>
      <c r="K64" s="43">
        <v>2025</v>
      </c>
      <c r="L64" s="230">
        <f>'Calcs - Volume Scenarios'!L$27*Inputs!$D128</f>
        <v>0</v>
      </c>
      <c r="M64" s="229">
        <f>'Calcs - Volume Scenarios'!M$27*Inputs!$D128</f>
        <v>0</v>
      </c>
      <c r="N64" s="51">
        <f>'Calcs - Volume Scenarios'!N$27*Inputs!$D128</f>
        <v>0</v>
      </c>
      <c r="Q64" s="332"/>
      <c r="R64" s="43">
        <v>2025</v>
      </c>
      <c r="S64" s="230">
        <f>'Calcs - Volume Scenarios'!S$27*Inputs!$D128</f>
        <v>0</v>
      </c>
      <c r="T64" s="229">
        <f>'Calcs - Volume Scenarios'!T$27*Inputs!$D128</f>
        <v>0</v>
      </c>
      <c r="U64" s="51">
        <f>'Calcs - Volume Scenarios'!U$27*Inputs!$D128</f>
        <v>0</v>
      </c>
      <c r="X64" s="332"/>
      <c r="Y64" s="43">
        <v>2025</v>
      </c>
      <c r="Z64" s="230">
        <f>'Calcs - Volume Scenarios'!Z$27*Inputs!$D128</f>
        <v>0</v>
      </c>
      <c r="AA64" s="229">
        <f>'Calcs - Volume Scenarios'!AA$27*Inputs!$D128</f>
        <v>0</v>
      </c>
      <c r="AB64" s="51">
        <f>'Calcs - Volume Scenarios'!AB$27*Inputs!$D128</f>
        <v>0</v>
      </c>
      <c r="AE64" s="332"/>
      <c r="AF64" s="43">
        <v>2025</v>
      </c>
      <c r="AG64" s="230">
        <f>'Calcs - Volume Scenarios'!AG$27*Inputs!$D128</f>
        <v>0</v>
      </c>
      <c r="AH64" s="229">
        <f>'Calcs - Volume Scenarios'!AH$27*Inputs!$D128</f>
        <v>0</v>
      </c>
      <c r="AI64" s="51">
        <f>'Calcs - Volume Scenarios'!AI$27*Inputs!$D128</f>
        <v>0</v>
      </c>
    </row>
    <row r="65" spans="1:36" x14ac:dyDescent="0.25">
      <c r="A65" s="316"/>
      <c r="C65" s="332"/>
      <c r="D65" s="43">
        <v>2026</v>
      </c>
      <c r="E65" s="230">
        <f>'Calcs - Volume Scenarios'!E$27*Inputs!$D129</f>
        <v>0</v>
      </c>
      <c r="F65" s="229">
        <f>'Calcs - Volume Scenarios'!F$27*Inputs!$D129</f>
        <v>0</v>
      </c>
      <c r="G65" s="51">
        <f>'Calcs - Volume Scenarios'!G$27*Inputs!$D129</f>
        <v>0</v>
      </c>
      <c r="J65" s="332"/>
      <c r="K65" s="43">
        <v>2026</v>
      </c>
      <c r="L65" s="230">
        <f>'Calcs - Volume Scenarios'!L$27*Inputs!$D129</f>
        <v>0.96626004302826518</v>
      </c>
      <c r="M65" s="229">
        <f>'Calcs - Volume Scenarios'!M$27*Inputs!$D129</f>
        <v>0.96626004302826518</v>
      </c>
      <c r="N65" s="51">
        <f>'Calcs - Volume Scenarios'!N$27*Inputs!$D129</f>
        <v>0.96626004302826518</v>
      </c>
      <c r="Q65" s="332"/>
      <c r="R65" s="43">
        <v>2026</v>
      </c>
      <c r="S65" s="230">
        <f>'Calcs - Volume Scenarios'!S$27*Inputs!$D129</f>
        <v>2.2654907049140123</v>
      </c>
      <c r="T65" s="229">
        <f>'Calcs - Volume Scenarios'!T$27*Inputs!$D129</f>
        <v>2.2654907049140123</v>
      </c>
      <c r="U65" s="51">
        <f>'Calcs - Volume Scenarios'!U$27*Inputs!$D129</f>
        <v>2.2654907049140123</v>
      </c>
      <c r="X65" s="332"/>
      <c r="Y65" s="43">
        <v>2026</v>
      </c>
      <c r="Z65" s="230">
        <f>'Calcs - Volume Scenarios'!Z$27*Inputs!$D129</f>
        <v>3.5647213667997621</v>
      </c>
      <c r="AA65" s="229">
        <f>'Calcs - Volume Scenarios'!AA$27*Inputs!$D129</f>
        <v>3.5647213667997621</v>
      </c>
      <c r="AB65" s="51">
        <f>'Calcs - Volume Scenarios'!AB$27*Inputs!$D129</f>
        <v>3.5647213667997621</v>
      </c>
      <c r="AE65" s="332"/>
      <c r="AF65" s="43">
        <v>2026</v>
      </c>
      <c r="AG65" s="230">
        <f>'Calcs - Volume Scenarios'!AG$27*Inputs!$D129</f>
        <v>4.8639520286855094</v>
      </c>
      <c r="AH65" s="229">
        <f>'Calcs - Volume Scenarios'!AH$27*Inputs!$D129</f>
        <v>4.8639520286855094</v>
      </c>
      <c r="AI65" s="51">
        <f>'Calcs - Volume Scenarios'!AI$27*Inputs!$D129</f>
        <v>4.8639520286855094</v>
      </c>
    </row>
    <row r="66" spans="1:36" x14ac:dyDescent="0.25">
      <c r="A66" s="316"/>
      <c r="C66" s="332"/>
      <c r="D66" s="43">
        <v>2027</v>
      </c>
      <c r="E66" s="230">
        <f>'Calcs - Volume Scenarios'!E$27*Inputs!$D130</f>
        <v>0</v>
      </c>
      <c r="F66" s="229">
        <f>'Calcs - Volume Scenarios'!F$27*Inputs!$D130</f>
        <v>0</v>
      </c>
      <c r="G66" s="51">
        <f>'Calcs - Volume Scenarios'!G$27*Inputs!$D130</f>
        <v>0</v>
      </c>
      <c r="J66" s="332"/>
      <c r="K66" s="43">
        <v>2027</v>
      </c>
      <c r="L66" s="230">
        <f>'Calcs - Volume Scenarios'!L$27*Inputs!$D130</f>
        <v>1.9325200860565304</v>
      </c>
      <c r="M66" s="229">
        <f>'Calcs - Volume Scenarios'!M$27*Inputs!$D130</f>
        <v>1.9325200860565304</v>
      </c>
      <c r="N66" s="51">
        <f>'Calcs - Volume Scenarios'!N$27*Inputs!$D130</f>
        <v>1.9325200860565304</v>
      </c>
      <c r="Q66" s="332"/>
      <c r="R66" s="43">
        <v>2027</v>
      </c>
      <c r="S66" s="230">
        <f>'Calcs - Volume Scenarios'!S$27*Inputs!$D130</f>
        <v>4.5309814098280246</v>
      </c>
      <c r="T66" s="229">
        <f>'Calcs - Volume Scenarios'!T$27*Inputs!$D130</f>
        <v>4.5309814098280246</v>
      </c>
      <c r="U66" s="51">
        <f>'Calcs - Volume Scenarios'!U$27*Inputs!$D130</f>
        <v>4.5309814098280246</v>
      </c>
      <c r="X66" s="332"/>
      <c r="Y66" s="43">
        <v>2027</v>
      </c>
      <c r="Z66" s="230">
        <f>'Calcs - Volume Scenarios'!Z$27*Inputs!$D130</f>
        <v>7.1294427335995243</v>
      </c>
      <c r="AA66" s="229">
        <f>'Calcs - Volume Scenarios'!AA$27*Inputs!$D130</f>
        <v>7.1294427335995243</v>
      </c>
      <c r="AB66" s="51">
        <f>'Calcs - Volume Scenarios'!AB$27*Inputs!$D130</f>
        <v>7.1294427335995243</v>
      </c>
      <c r="AE66" s="332"/>
      <c r="AF66" s="43">
        <v>2027</v>
      </c>
      <c r="AG66" s="230">
        <f>'Calcs - Volume Scenarios'!AG$27*Inputs!$D130</f>
        <v>9.7279040573710187</v>
      </c>
      <c r="AH66" s="229">
        <f>'Calcs - Volume Scenarios'!AH$27*Inputs!$D130</f>
        <v>9.7279040573710187</v>
      </c>
      <c r="AI66" s="51">
        <f>'Calcs - Volume Scenarios'!AI$27*Inputs!$D130</f>
        <v>9.7279040573710187</v>
      </c>
    </row>
    <row r="67" spans="1:36" x14ac:dyDescent="0.25">
      <c r="A67" s="316"/>
      <c r="C67" s="332"/>
      <c r="D67" s="43">
        <v>2028</v>
      </c>
      <c r="E67" s="230">
        <f>'Calcs - Volume Scenarios'!E$27*Inputs!$D131</f>
        <v>0</v>
      </c>
      <c r="F67" s="229">
        <f>'Calcs - Volume Scenarios'!F$27*Inputs!$D131</f>
        <v>0</v>
      </c>
      <c r="G67" s="51">
        <f>'Calcs - Volume Scenarios'!G$27*Inputs!$D131</f>
        <v>0</v>
      </c>
      <c r="J67" s="332"/>
      <c r="K67" s="43">
        <v>2028</v>
      </c>
      <c r="L67" s="230">
        <f>'Calcs - Volume Scenarios'!L$27*Inputs!$D131</f>
        <v>1.9325200860565304</v>
      </c>
      <c r="M67" s="229">
        <f>'Calcs - Volume Scenarios'!M$27*Inputs!$D131</f>
        <v>1.9325200860565304</v>
      </c>
      <c r="N67" s="51">
        <f>'Calcs - Volume Scenarios'!N$27*Inputs!$D131</f>
        <v>1.9325200860565304</v>
      </c>
      <c r="Q67" s="332"/>
      <c r="R67" s="43">
        <v>2028</v>
      </c>
      <c r="S67" s="230">
        <f>'Calcs - Volume Scenarios'!S$27*Inputs!$D131</f>
        <v>4.5309814098280246</v>
      </c>
      <c r="T67" s="229">
        <f>'Calcs - Volume Scenarios'!T$27*Inputs!$D131</f>
        <v>4.5309814098280246</v>
      </c>
      <c r="U67" s="51">
        <f>'Calcs - Volume Scenarios'!U$27*Inputs!$D131</f>
        <v>4.5309814098280246</v>
      </c>
      <c r="X67" s="332"/>
      <c r="Y67" s="43">
        <v>2028</v>
      </c>
      <c r="Z67" s="230">
        <f>'Calcs - Volume Scenarios'!Z$27*Inputs!$D131</f>
        <v>7.1294427335995243</v>
      </c>
      <c r="AA67" s="229">
        <f>'Calcs - Volume Scenarios'!AA$27*Inputs!$D131</f>
        <v>7.1294427335995243</v>
      </c>
      <c r="AB67" s="51">
        <f>'Calcs - Volume Scenarios'!AB$27*Inputs!$D131</f>
        <v>7.1294427335995243</v>
      </c>
      <c r="AE67" s="332"/>
      <c r="AF67" s="43">
        <v>2028</v>
      </c>
      <c r="AG67" s="230">
        <f>'Calcs - Volume Scenarios'!AG$27*Inputs!$D131</f>
        <v>9.7279040573710187</v>
      </c>
      <c r="AH67" s="229">
        <f>'Calcs - Volume Scenarios'!AH$27*Inputs!$D131</f>
        <v>9.7279040573710187</v>
      </c>
      <c r="AI67" s="51">
        <f>'Calcs - Volume Scenarios'!AI$27*Inputs!$D131</f>
        <v>9.7279040573710187</v>
      </c>
    </row>
    <row r="68" spans="1:36" x14ac:dyDescent="0.25">
      <c r="A68" s="316"/>
      <c r="C68" s="332"/>
      <c r="D68" s="43">
        <v>2029</v>
      </c>
      <c r="E68" s="230">
        <f>'Calcs - Volume Scenarios'!E$27*Inputs!$D132</f>
        <v>0</v>
      </c>
      <c r="F68" s="229">
        <f>'Calcs - Volume Scenarios'!F$27*Inputs!$D132</f>
        <v>0</v>
      </c>
      <c r="G68" s="51">
        <f>'Calcs - Volume Scenarios'!G$27*Inputs!$D132</f>
        <v>0</v>
      </c>
      <c r="J68" s="332"/>
      <c r="K68" s="43">
        <v>2029</v>
      </c>
      <c r="L68" s="230">
        <f>'Calcs - Volume Scenarios'!L$27*Inputs!$D132</f>
        <v>1.9325200860565304</v>
      </c>
      <c r="M68" s="229">
        <f>'Calcs - Volume Scenarios'!M$27*Inputs!$D132</f>
        <v>1.9325200860565304</v>
      </c>
      <c r="N68" s="51">
        <f>'Calcs - Volume Scenarios'!N$27*Inputs!$D132</f>
        <v>1.9325200860565304</v>
      </c>
      <c r="Q68" s="332"/>
      <c r="R68" s="43">
        <v>2029</v>
      </c>
      <c r="S68" s="230">
        <f>'Calcs - Volume Scenarios'!S$27*Inputs!$D132</f>
        <v>4.5309814098280246</v>
      </c>
      <c r="T68" s="229">
        <f>'Calcs - Volume Scenarios'!T$27*Inputs!$D132</f>
        <v>4.5309814098280246</v>
      </c>
      <c r="U68" s="51">
        <f>'Calcs - Volume Scenarios'!U$27*Inputs!$D132</f>
        <v>4.5309814098280246</v>
      </c>
      <c r="X68" s="332"/>
      <c r="Y68" s="43">
        <v>2029</v>
      </c>
      <c r="Z68" s="230">
        <f>'Calcs - Volume Scenarios'!Z$27*Inputs!$D132</f>
        <v>7.1294427335995243</v>
      </c>
      <c r="AA68" s="229">
        <f>'Calcs - Volume Scenarios'!AA$27*Inputs!$D132</f>
        <v>7.1294427335995243</v>
      </c>
      <c r="AB68" s="51">
        <f>'Calcs - Volume Scenarios'!AB$27*Inputs!$D132</f>
        <v>7.1294427335995243</v>
      </c>
      <c r="AE68" s="332"/>
      <c r="AF68" s="43">
        <v>2029</v>
      </c>
      <c r="AG68" s="230">
        <f>'Calcs - Volume Scenarios'!AG$27*Inputs!$D132</f>
        <v>9.7279040573710187</v>
      </c>
      <c r="AH68" s="229">
        <f>'Calcs - Volume Scenarios'!AH$27*Inputs!$D132</f>
        <v>9.7279040573710187</v>
      </c>
      <c r="AI68" s="51">
        <f>'Calcs - Volume Scenarios'!AI$27*Inputs!$D132</f>
        <v>9.7279040573710187</v>
      </c>
    </row>
    <row r="69" spans="1:36" x14ac:dyDescent="0.25">
      <c r="A69" s="317"/>
      <c r="C69" s="332"/>
      <c r="D69" s="43">
        <v>2030</v>
      </c>
      <c r="E69" s="230">
        <f>'Calcs - Volume Scenarios'!E$27*Inputs!$D133</f>
        <v>0</v>
      </c>
      <c r="F69" s="229">
        <f>'Calcs - Volume Scenarios'!F$27*Inputs!$D133</f>
        <v>0</v>
      </c>
      <c r="G69" s="51">
        <f>'Calcs - Volume Scenarios'!G$27*Inputs!$D133</f>
        <v>0</v>
      </c>
      <c r="J69" s="332"/>
      <c r="K69" s="43">
        <v>2030</v>
      </c>
      <c r="L69" s="230">
        <f>'Calcs - Volume Scenarios'!L$27*Inputs!$D133</f>
        <v>1.9325200860565304</v>
      </c>
      <c r="M69" s="229">
        <f>'Calcs - Volume Scenarios'!M$27*Inputs!$D133</f>
        <v>1.9325200860565304</v>
      </c>
      <c r="N69" s="51">
        <f>'Calcs - Volume Scenarios'!N$27*Inputs!$D133</f>
        <v>1.9325200860565304</v>
      </c>
      <c r="Q69" s="332"/>
      <c r="R69" s="43">
        <v>2030</v>
      </c>
      <c r="S69" s="230">
        <f>'Calcs - Volume Scenarios'!S$27*Inputs!$D133</f>
        <v>4.5309814098280246</v>
      </c>
      <c r="T69" s="229">
        <f>'Calcs - Volume Scenarios'!T$27*Inputs!$D133</f>
        <v>4.5309814098280246</v>
      </c>
      <c r="U69" s="51">
        <f>'Calcs - Volume Scenarios'!U$27*Inputs!$D133</f>
        <v>4.5309814098280246</v>
      </c>
      <c r="X69" s="332"/>
      <c r="Y69" s="43">
        <v>2030</v>
      </c>
      <c r="Z69" s="230">
        <f>'Calcs - Volume Scenarios'!Z$27*Inputs!$D133</f>
        <v>7.1294427335995243</v>
      </c>
      <c r="AA69" s="229">
        <f>'Calcs - Volume Scenarios'!AA$27*Inputs!$D133</f>
        <v>7.1294427335995243</v>
      </c>
      <c r="AB69" s="51">
        <f>'Calcs - Volume Scenarios'!AB$27*Inputs!$D133</f>
        <v>7.1294427335995243</v>
      </c>
      <c r="AE69" s="332"/>
      <c r="AF69" s="43">
        <v>2030</v>
      </c>
      <c r="AG69" s="230">
        <f>'Calcs - Volume Scenarios'!AG$27*Inputs!$D133</f>
        <v>9.7279040573710187</v>
      </c>
      <c r="AH69" s="229">
        <f>'Calcs - Volume Scenarios'!AH$27*Inputs!$D133</f>
        <v>9.7279040573710187</v>
      </c>
      <c r="AI69" s="51">
        <f>'Calcs - Volume Scenarios'!AI$27*Inputs!$D133</f>
        <v>9.7279040573710187</v>
      </c>
    </row>
    <row r="70" spans="1:36" x14ac:dyDescent="0.25">
      <c r="C70" s="236"/>
      <c r="D70" s="43">
        <v>2031</v>
      </c>
      <c r="E70" s="230">
        <f>'Calcs - Volume Scenarios'!E$27*Inputs!$D134</f>
        <v>0</v>
      </c>
      <c r="F70" s="229">
        <f>'Calcs - Volume Scenarios'!F$27*Inputs!$D134</f>
        <v>0</v>
      </c>
      <c r="G70" s="51">
        <f>'Calcs - Volume Scenarios'!G$27*Inputs!$D134</f>
        <v>0</v>
      </c>
      <c r="J70" s="236"/>
      <c r="K70" s="43">
        <v>2031</v>
      </c>
      <c r="L70" s="230">
        <f>'Calcs - Volume Scenarios'!L$27*Inputs!$D134</f>
        <v>0.96626004302826518</v>
      </c>
      <c r="M70" s="229">
        <f>'Calcs - Volume Scenarios'!M$27*Inputs!$D134</f>
        <v>0.96626004302826518</v>
      </c>
      <c r="N70" s="51">
        <f>'Calcs - Volume Scenarios'!N$27*Inputs!$D134</f>
        <v>0.96626004302826518</v>
      </c>
      <c r="Q70" s="236"/>
      <c r="R70" s="43">
        <v>2031</v>
      </c>
      <c r="S70" s="230">
        <f>'Calcs - Volume Scenarios'!S$27*Inputs!$D134</f>
        <v>2.2654907049140123</v>
      </c>
      <c r="T70" s="229">
        <f>'Calcs - Volume Scenarios'!T$27*Inputs!$D134</f>
        <v>2.2654907049140123</v>
      </c>
      <c r="U70" s="51">
        <f>'Calcs - Volume Scenarios'!U$27*Inputs!$D134</f>
        <v>2.2654907049140123</v>
      </c>
      <c r="X70" s="236"/>
      <c r="Y70" s="43">
        <v>2031</v>
      </c>
      <c r="Z70" s="230">
        <f>'Calcs - Volume Scenarios'!Z$27*Inputs!$D134</f>
        <v>3.5647213667997621</v>
      </c>
      <c r="AA70" s="229">
        <f>'Calcs - Volume Scenarios'!AA$27*Inputs!$D134</f>
        <v>3.5647213667997621</v>
      </c>
      <c r="AB70" s="51">
        <f>'Calcs - Volume Scenarios'!AB$27*Inputs!$D134</f>
        <v>3.5647213667997621</v>
      </c>
      <c r="AE70" s="236"/>
      <c r="AF70" s="43">
        <v>2031</v>
      </c>
      <c r="AG70" s="230">
        <f>'Calcs - Volume Scenarios'!AG$27*Inputs!$D134</f>
        <v>4.8639520286855094</v>
      </c>
      <c r="AH70" s="229">
        <f>'Calcs - Volume Scenarios'!AH$27*Inputs!$D134</f>
        <v>4.8639520286855094</v>
      </c>
      <c r="AI70" s="51">
        <f>'Calcs - Volume Scenarios'!AI$27*Inputs!$D134</f>
        <v>4.8639520286855094</v>
      </c>
    </row>
    <row r="71" spans="1:36" x14ac:dyDescent="0.25">
      <c r="C71" s="236"/>
      <c r="D71" s="43">
        <v>2032</v>
      </c>
      <c r="E71" s="230">
        <f>'Calcs - Volume Scenarios'!E$27*Inputs!$D135</f>
        <v>0</v>
      </c>
      <c r="F71" s="229">
        <f>'Calcs - Volume Scenarios'!F$27*Inputs!$D135</f>
        <v>0</v>
      </c>
      <c r="G71" s="51">
        <f>'Calcs - Volume Scenarios'!G$27*Inputs!$D135</f>
        <v>0</v>
      </c>
      <c r="J71" s="236"/>
      <c r="K71" s="43">
        <v>2032</v>
      </c>
      <c r="L71" s="230">
        <f>'Calcs - Volume Scenarios'!L$27*Inputs!$D135</f>
        <v>0</v>
      </c>
      <c r="M71" s="229">
        <f>'Calcs - Volume Scenarios'!M$27*Inputs!$D135</f>
        <v>0</v>
      </c>
      <c r="N71" s="51">
        <f>'Calcs - Volume Scenarios'!N$27*Inputs!$D135</f>
        <v>0</v>
      </c>
      <c r="Q71" s="236"/>
      <c r="R71" s="43">
        <v>2032</v>
      </c>
      <c r="S71" s="230">
        <f>'Calcs - Volume Scenarios'!S$27*Inputs!$D135</f>
        <v>0</v>
      </c>
      <c r="T71" s="229">
        <f>'Calcs - Volume Scenarios'!T$27*Inputs!$D135</f>
        <v>0</v>
      </c>
      <c r="U71" s="51">
        <f>'Calcs - Volume Scenarios'!U$27*Inputs!$D135</f>
        <v>0</v>
      </c>
      <c r="X71" s="236"/>
      <c r="Y71" s="43">
        <v>2032</v>
      </c>
      <c r="Z71" s="230">
        <f>'Calcs - Volume Scenarios'!Z$27*Inputs!$D135</f>
        <v>0</v>
      </c>
      <c r="AA71" s="229">
        <f>'Calcs - Volume Scenarios'!AA$27*Inputs!$D135</f>
        <v>0</v>
      </c>
      <c r="AB71" s="51">
        <f>'Calcs - Volume Scenarios'!AB$27*Inputs!$D135</f>
        <v>0</v>
      </c>
      <c r="AE71" s="236"/>
      <c r="AF71" s="43">
        <v>2032</v>
      </c>
      <c r="AG71" s="230">
        <f>'Calcs - Volume Scenarios'!AG$27*Inputs!$D135</f>
        <v>0</v>
      </c>
      <c r="AH71" s="229">
        <f>'Calcs - Volume Scenarios'!AH$27*Inputs!$D135</f>
        <v>0</v>
      </c>
      <c r="AI71" s="51">
        <f>'Calcs - Volume Scenarios'!AI$27*Inputs!$D135</f>
        <v>0</v>
      </c>
    </row>
    <row r="72" spans="1:36" x14ac:dyDescent="0.25">
      <c r="C72" s="236"/>
      <c r="D72" s="43">
        <v>2033</v>
      </c>
      <c r="E72" s="230">
        <f>'Calcs - Volume Scenarios'!E$27*Inputs!$D136</f>
        <v>0</v>
      </c>
      <c r="F72" s="229">
        <f>'Calcs - Volume Scenarios'!F$27*Inputs!$D136</f>
        <v>0</v>
      </c>
      <c r="G72" s="51">
        <f>'Calcs - Volume Scenarios'!G$27*Inputs!$D136</f>
        <v>0</v>
      </c>
      <c r="J72" s="236"/>
      <c r="K72" s="43">
        <v>2033</v>
      </c>
      <c r="L72" s="230">
        <f>'Calcs - Volume Scenarios'!L$27*Inputs!$D136</f>
        <v>0</v>
      </c>
      <c r="M72" s="229">
        <f>'Calcs - Volume Scenarios'!M$27*Inputs!$D136</f>
        <v>0</v>
      </c>
      <c r="N72" s="51">
        <f>'Calcs - Volume Scenarios'!N$27*Inputs!$D136</f>
        <v>0</v>
      </c>
      <c r="Q72" s="236"/>
      <c r="R72" s="43">
        <v>2033</v>
      </c>
      <c r="S72" s="230">
        <f>'Calcs - Volume Scenarios'!S$27*Inputs!$D136</f>
        <v>0</v>
      </c>
      <c r="T72" s="229">
        <f>'Calcs - Volume Scenarios'!T$27*Inputs!$D136</f>
        <v>0</v>
      </c>
      <c r="U72" s="51">
        <f>'Calcs - Volume Scenarios'!U$27*Inputs!$D136</f>
        <v>0</v>
      </c>
      <c r="X72" s="236"/>
      <c r="Y72" s="43">
        <v>2033</v>
      </c>
      <c r="Z72" s="230">
        <f>'Calcs - Volume Scenarios'!Z$27*Inputs!$D136</f>
        <v>0</v>
      </c>
      <c r="AA72" s="229">
        <f>'Calcs - Volume Scenarios'!AA$27*Inputs!$D136</f>
        <v>0</v>
      </c>
      <c r="AB72" s="51">
        <f>'Calcs - Volume Scenarios'!AB$27*Inputs!$D136</f>
        <v>0</v>
      </c>
      <c r="AE72" s="236"/>
      <c r="AF72" s="43">
        <v>2033</v>
      </c>
      <c r="AG72" s="230">
        <f>'Calcs - Volume Scenarios'!AG$27*Inputs!$D136</f>
        <v>0</v>
      </c>
      <c r="AH72" s="229">
        <f>'Calcs - Volume Scenarios'!AH$27*Inputs!$D136</f>
        <v>0</v>
      </c>
      <c r="AI72" s="51">
        <f>'Calcs - Volume Scenarios'!AI$27*Inputs!$D136</f>
        <v>0</v>
      </c>
    </row>
    <row r="73" spans="1:36" ht="15.75" thickBot="1" x14ac:dyDescent="0.3">
      <c r="C73" s="236"/>
      <c r="D73" s="43">
        <v>2034</v>
      </c>
      <c r="E73" s="230">
        <f>'Calcs - Volume Scenarios'!E$27*Inputs!$D137</f>
        <v>0</v>
      </c>
      <c r="F73" s="229">
        <f>'Calcs - Volume Scenarios'!F$27*Inputs!$D137</f>
        <v>0</v>
      </c>
      <c r="G73" s="51">
        <f>'Calcs - Volume Scenarios'!G$27*Inputs!$D137</f>
        <v>0</v>
      </c>
      <c r="J73" s="236"/>
      <c r="K73" s="43">
        <v>2034</v>
      </c>
      <c r="L73" s="230">
        <f>'Calcs - Volume Scenarios'!L$27*Inputs!$D137</f>
        <v>0</v>
      </c>
      <c r="M73" s="229">
        <f>'Calcs - Volume Scenarios'!M$27*Inputs!$D137</f>
        <v>0</v>
      </c>
      <c r="N73" s="51">
        <f>'Calcs - Volume Scenarios'!N$27*Inputs!$D137</f>
        <v>0</v>
      </c>
      <c r="Q73" s="236"/>
      <c r="R73" s="43">
        <v>2034</v>
      </c>
      <c r="S73" s="230">
        <f>'Calcs - Volume Scenarios'!S$27*Inputs!$D137</f>
        <v>0</v>
      </c>
      <c r="T73" s="229">
        <f>'Calcs - Volume Scenarios'!T$27*Inputs!$D137</f>
        <v>0</v>
      </c>
      <c r="U73" s="51">
        <f>'Calcs - Volume Scenarios'!U$27*Inputs!$D137</f>
        <v>0</v>
      </c>
      <c r="X73" s="236"/>
      <c r="Y73" s="43">
        <v>2034</v>
      </c>
      <c r="Z73" s="230">
        <f>'Calcs - Volume Scenarios'!Z$27*Inputs!$D137</f>
        <v>0</v>
      </c>
      <c r="AA73" s="229">
        <f>'Calcs - Volume Scenarios'!AA$27*Inputs!$D137</f>
        <v>0</v>
      </c>
      <c r="AB73" s="51">
        <f>'Calcs - Volume Scenarios'!AB$27*Inputs!$D137</f>
        <v>0</v>
      </c>
      <c r="AE73" s="236"/>
      <c r="AF73" s="43">
        <v>2034</v>
      </c>
      <c r="AG73" s="230">
        <f>'Calcs - Volume Scenarios'!AG$27*Inputs!$D137</f>
        <v>0</v>
      </c>
      <c r="AH73" s="229">
        <f>'Calcs - Volume Scenarios'!AH$27*Inputs!$D137</f>
        <v>0</v>
      </c>
      <c r="AI73" s="51">
        <f>'Calcs - Volume Scenarios'!AI$27*Inputs!$D137</f>
        <v>0</v>
      </c>
    </row>
    <row r="74" spans="1:36" ht="16.5" thickTop="1" thickBot="1" x14ac:dyDescent="0.3">
      <c r="C74" s="237"/>
      <c r="D74" s="44">
        <v>2035</v>
      </c>
      <c r="E74" s="235">
        <f>'Calcs - Volume Scenarios'!E$27*Inputs!$D138</f>
        <v>0</v>
      </c>
      <c r="F74" s="52">
        <f>'Calcs - Volume Scenarios'!F$27*Inputs!$D138</f>
        <v>0</v>
      </c>
      <c r="G74" s="53">
        <f>'Calcs - Volume Scenarios'!G$27*Inputs!$D138</f>
        <v>0</v>
      </c>
      <c r="H74" s="197">
        <f>SUM(E63:E74, F63:F74, G63:G74)-SUM(E$27:G$27)</f>
        <v>0</v>
      </c>
      <c r="J74" s="237"/>
      <c r="K74" s="44">
        <v>2035</v>
      </c>
      <c r="L74" s="235">
        <f>'Calcs - Volume Scenarios'!L$27*Inputs!$D138</f>
        <v>0</v>
      </c>
      <c r="M74" s="52">
        <f>'Calcs - Volume Scenarios'!M$27*Inputs!$D138</f>
        <v>0</v>
      </c>
      <c r="N74" s="53">
        <f>'Calcs - Volume Scenarios'!N$27*Inputs!$D138</f>
        <v>0</v>
      </c>
      <c r="O74" s="197">
        <f>SUM(L63:L74, M63:M74, N63:N74)-SUM(L$27:N$27)</f>
        <v>0</v>
      </c>
      <c r="Q74" s="237"/>
      <c r="R74" s="44">
        <v>2035</v>
      </c>
      <c r="S74" s="235">
        <f>'Calcs - Volume Scenarios'!S$27*Inputs!$D138</f>
        <v>0</v>
      </c>
      <c r="T74" s="52">
        <f>'Calcs - Volume Scenarios'!T$27*Inputs!$D138</f>
        <v>0</v>
      </c>
      <c r="U74" s="53">
        <f>'Calcs - Volume Scenarios'!U$27*Inputs!$D138</f>
        <v>0</v>
      </c>
      <c r="V74" s="197">
        <f>SUM(S63:S74, T63:T74, U63:U74)-SUM(S$27:U$27)</f>
        <v>0</v>
      </c>
      <c r="X74" s="237"/>
      <c r="Y74" s="44">
        <v>2035</v>
      </c>
      <c r="Z74" s="235">
        <f>'Calcs - Volume Scenarios'!Z$27*Inputs!$D138</f>
        <v>0</v>
      </c>
      <c r="AA74" s="52">
        <f>'Calcs - Volume Scenarios'!AA$27*Inputs!$D138</f>
        <v>0</v>
      </c>
      <c r="AB74" s="53">
        <f>'Calcs - Volume Scenarios'!AB$27*Inputs!$D138</f>
        <v>0</v>
      </c>
      <c r="AC74" s="197">
        <f>SUM(Z63:Z74, AA63:AA74, AB63:AB74)-SUM(Z$27:AB$27)</f>
        <v>0</v>
      </c>
      <c r="AE74" s="237"/>
      <c r="AF74" s="44">
        <v>2035</v>
      </c>
      <c r="AG74" s="235">
        <f>'Calcs - Volume Scenarios'!AG$27*Inputs!$D138</f>
        <v>0</v>
      </c>
      <c r="AH74" s="52">
        <f>'Calcs - Volume Scenarios'!AH$27*Inputs!$D138</f>
        <v>0</v>
      </c>
      <c r="AI74" s="53">
        <f>'Calcs - Volume Scenarios'!AI$27*Inputs!$D138</f>
        <v>0</v>
      </c>
      <c r="AJ74" s="197">
        <f>SUM(AG63:AG74, AH63:AH74, AI63:AI74)-SUM(AG$27:AI$27)</f>
        <v>0</v>
      </c>
    </row>
    <row r="75" spans="1:36" ht="15.75" thickTop="1" x14ac:dyDescent="0.25"/>
  </sheetData>
  <mergeCells count="20">
    <mergeCell ref="AE32:AE39"/>
    <mergeCell ref="AE47:AE54"/>
    <mergeCell ref="AE62:AE69"/>
    <mergeCell ref="Q32:Q39"/>
    <mergeCell ref="Q47:Q54"/>
    <mergeCell ref="Q62:Q69"/>
    <mergeCell ref="X32:X39"/>
    <mergeCell ref="X47:X54"/>
    <mergeCell ref="X62:X69"/>
    <mergeCell ref="C62:C69"/>
    <mergeCell ref="J32:J39"/>
    <mergeCell ref="J47:J54"/>
    <mergeCell ref="J62:J69"/>
    <mergeCell ref="C32:C39"/>
    <mergeCell ref="C47:C54"/>
    <mergeCell ref="A4:A14"/>
    <mergeCell ref="A25:A27"/>
    <mergeCell ref="A32:A39"/>
    <mergeCell ref="A47:A54"/>
    <mergeCell ref="A62:A69"/>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54AE7-EF90-4F0E-96D1-A40569D30E64}">
  <sheetPr codeName="Sheet7">
    <tabColor theme="9"/>
  </sheetPr>
  <dimension ref="A1:J45"/>
  <sheetViews>
    <sheetView tabSelected="1" topLeftCell="A8" zoomScale="51" workbookViewId="0">
      <selection activeCell="E26" sqref="E26:E37"/>
    </sheetView>
  </sheetViews>
  <sheetFormatPr defaultRowHeight="15" x14ac:dyDescent="0.25"/>
  <cols>
    <col min="1" max="1" width="30.5703125" customWidth="1"/>
    <col min="2" max="2" width="4.5703125" customWidth="1"/>
    <col min="3" max="10" width="30.5703125" customWidth="1"/>
  </cols>
  <sheetData>
    <row r="1" spans="1:10" ht="16.5" thickTop="1" thickBot="1" x14ac:dyDescent="0.3">
      <c r="C1" t="s">
        <v>45</v>
      </c>
      <c r="D1" t="s">
        <v>56</v>
      </c>
      <c r="E1" s="197" t="e">
        <f ca="1">Checks!$D$17</f>
        <v>#VALUE!</v>
      </c>
      <c r="F1" t="s">
        <v>57</v>
      </c>
      <c r="G1" s="197">
        <f>SUM(D39:F40)</f>
        <v>0</v>
      </c>
    </row>
    <row r="2" spans="1:10" ht="18" thickTop="1" x14ac:dyDescent="0.3">
      <c r="C2" s="8" t="s">
        <v>167</v>
      </c>
    </row>
    <row r="3" spans="1:10" x14ac:dyDescent="0.25">
      <c r="A3" s="61" t="s">
        <v>48</v>
      </c>
      <c r="C3" s="5"/>
    </row>
    <row r="4" spans="1:10" ht="60" customHeight="1" x14ac:dyDescent="0.25">
      <c r="A4" s="315" t="s">
        <v>168</v>
      </c>
      <c r="C4" s="335" t="s">
        <v>169</v>
      </c>
      <c r="D4" s="29" t="s">
        <v>170</v>
      </c>
      <c r="E4" s="26" t="s">
        <v>171</v>
      </c>
      <c r="F4" s="26" t="s">
        <v>90</v>
      </c>
      <c r="G4" s="28" t="s">
        <v>172</v>
      </c>
      <c r="H4" s="28" t="s">
        <v>91</v>
      </c>
      <c r="I4" s="28" t="s">
        <v>173</v>
      </c>
      <c r="J4" s="28" t="s">
        <v>174</v>
      </c>
    </row>
    <row r="5" spans="1:10" ht="30" customHeight="1" x14ac:dyDescent="0.25">
      <c r="A5" s="316"/>
      <c r="C5" s="335"/>
      <c r="D5" s="304" t="str">
        <f>Inputs!C50</f>
        <v>IEA - Selected EMDE with net zero targets scenario</v>
      </c>
      <c r="E5" s="242">
        <f>Inputs!F50</f>
        <v>2030</v>
      </c>
      <c r="F5" s="243" t="str">
        <f>Inputs!E50</f>
        <v>USD</v>
      </c>
      <c r="G5" s="48">
        <f>Inputs!H50</f>
        <v>90</v>
      </c>
      <c r="H5" s="241">
        <f>Inputs!G50</f>
        <v>2023</v>
      </c>
      <c r="I5" s="48">
        <f>(G5/_xlfn.XLOOKUP(H5, Inputs!$C$69:$C$88, Inputs!$P$69:$P$88))*Inputs!$P$87</f>
        <v>90</v>
      </c>
      <c r="J5" s="48">
        <f>I5/Inputs!$E$60</f>
        <v>144.79230348466811</v>
      </c>
    </row>
    <row r="6" spans="1:10" ht="30" customHeight="1" x14ac:dyDescent="0.25">
      <c r="A6" s="317"/>
      <c r="C6" s="335"/>
      <c r="D6" s="304" t="str">
        <f>Inputs!C51</f>
        <v>IEA - Selected EMDE with net zero targets scenario</v>
      </c>
      <c r="E6" s="242">
        <f>Inputs!F51</f>
        <v>2035</v>
      </c>
      <c r="F6" s="243" t="str">
        <f>Inputs!E51</f>
        <v>USD</v>
      </c>
      <c r="G6" s="48">
        <f>Inputs!H51</f>
        <v>125</v>
      </c>
      <c r="H6" s="241">
        <f>Inputs!G51</f>
        <v>2023</v>
      </c>
      <c r="I6" s="48">
        <f>(G6/_xlfn.XLOOKUP(H6, Inputs!$C$69:$C$88, Inputs!$P$69:$P$88))*Inputs!$P$87</f>
        <v>125.00000000000001</v>
      </c>
      <c r="J6" s="48">
        <f>I6/Inputs!$E$60</f>
        <v>201.10042150648349</v>
      </c>
    </row>
    <row r="7" spans="1:10" ht="30" x14ac:dyDescent="0.25">
      <c r="A7" s="219"/>
      <c r="C7" s="335"/>
      <c r="D7" s="304" t="str">
        <f>Inputs!C52</f>
        <v>IEA - Emerging and developed economies</v>
      </c>
      <c r="E7" s="242">
        <f>Inputs!F52</f>
        <v>2030</v>
      </c>
      <c r="F7" s="243" t="str">
        <f>Inputs!E52</f>
        <v>USD</v>
      </c>
      <c r="G7" s="48">
        <f>Inputs!H52</f>
        <v>25</v>
      </c>
      <c r="H7" s="241">
        <f>Inputs!G52</f>
        <v>2023</v>
      </c>
      <c r="I7" s="48">
        <f>(G7/_xlfn.XLOOKUP(H7, Inputs!$C$69:$C$88, Inputs!$P$69:$P$88))*Inputs!$P$87</f>
        <v>24.999999999999996</v>
      </c>
      <c r="J7" s="48">
        <f>I7/Inputs!$E$60</f>
        <v>40.220084301296687</v>
      </c>
    </row>
    <row r="8" spans="1:10" ht="30" x14ac:dyDescent="0.25">
      <c r="A8" s="219"/>
      <c r="C8" s="335"/>
      <c r="D8" s="304" t="str">
        <f>Inputs!C53</f>
        <v>IEA - Emerging and developed economies</v>
      </c>
      <c r="E8" s="242">
        <f>Inputs!F53</f>
        <v>2035</v>
      </c>
      <c r="F8" s="243" t="str">
        <f>Inputs!E53</f>
        <v>USD</v>
      </c>
      <c r="G8" s="48">
        <f>Inputs!H53</f>
        <v>50</v>
      </c>
      <c r="H8" s="241">
        <f>Inputs!G53</f>
        <v>2023</v>
      </c>
      <c r="I8" s="48">
        <f>(G8/_xlfn.XLOOKUP(H8, Inputs!$C$69:$C$88, Inputs!$P$69:$P$88))*Inputs!$P$87</f>
        <v>49.999999999999993</v>
      </c>
      <c r="J8" s="48">
        <f>I8/Inputs!$E$60</f>
        <v>80.440168602593374</v>
      </c>
    </row>
    <row r="9" spans="1:10" ht="30" customHeight="1" x14ac:dyDescent="0.25">
      <c r="A9" s="64"/>
      <c r="C9" s="335"/>
      <c r="D9" s="304" t="str">
        <f>Inputs!C54</f>
        <v>Indicative current price</v>
      </c>
      <c r="E9" s="242">
        <f>Inputs!F54</f>
        <v>2024</v>
      </c>
      <c r="F9" s="243" t="str">
        <f>Inputs!E54</f>
        <v>USD</v>
      </c>
      <c r="G9" s="48" t="str">
        <f>Inputs!H54</f>
        <v xml:space="preserve">Withheld under section 6(b)(ii) </v>
      </c>
      <c r="H9" s="241">
        <f>Inputs!G54</f>
        <v>2023</v>
      </c>
      <c r="I9" s="48" t="e">
        <f>(G9/_xlfn.XLOOKUP(H9, Inputs!$C$69:$C$88, Inputs!$P$69:$P$88))*Inputs!$P$87</f>
        <v>#VALUE!</v>
      </c>
      <c r="J9" s="48" t="e">
        <f>I9/Inputs!$E$60</f>
        <v>#VALUE!</v>
      </c>
    </row>
    <row r="10" spans="1:10" x14ac:dyDescent="0.25">
      <c r="A10" s="61" t="s">
        <v>48</v>
      </c>
      <c r="C10" s="9"/>
      <c r="D10" s="9"/>
      <c r="E10" s="9"/>
      <c r="F10" s="9"/>
      <c r="G10" s="9"/>
      <c r="H10" s="7"/>
    </row>
    <row r="13" spans="1:10" ht="17.25" x14ac:dyDescent="0.3">
      <c r="C13" s="45" t="s">
        <v>175</v>
      </c>
    </row>
    <row r="14" spans="1:10" x14ac:dyDescent="0.25">
      <c r="A14" s="61" t="s">
        <v>48</v>
      </c>
    </row>
    <row r="15" spans="1:10" ht="30" x14ac:dyDescent="0.25">
      <c r="A15" s="315" t="s">
        <v>176</v>
      </c>
      <c r="C15" s="155" t="s">
        <v>177</v>
      </c>
      <c r="D15" s="305" t="str">
        <f>Inputs!C52</f>
        <v>IEA - Emerging and developed economies</v>
      </c>
      <c r="E15" s="30" t="str">
        <f>D9</f>
        <v>Indicative current price</v>
      </c>
      <c r="F15" s="30" t="str">
        <f>Inputs!C50</f>
        <v>IEA - Selected EMDE with net zero targets scenario</v>
      </c>
    </row>
    <row r="16" spans="1:10" ht="30" x14ac:dyDescent="0.25">
      <c r="A16" s="316"/>
      <c r="C16" s="156" t="s">
        <v>178</v>
      </c>
      <c r="D16" s="151">
        <f>J8/J7</f>
        <v>2</v>
      </c>
      <c r="E16" s="306">
        <f>AVERAGE(D16,F16)</f>
        <v>1.6944444444444444</v>
      </c>
      <c r="F16" s="151">
        <f>J6/J5</f>
        <v>1.3888888888888888</v>
      </c>
      <c r="H16" s="192" t="s">
        <v>179</v>
      </c>
    </row>
    <row r="17" spans="1:10" x14ac:dyDescent="0.25">
      <c r="A17" s="316"/>
      <c r="C17" s="157" t="s">
        <v>180</v>
      </c>
      <c r="D17" s="152">
        <f>E8-E7</f>
        <v>5</v>
      </c>
      <c r="E17" s="152">
        <f>AVERAGE(D17,F17)</f>
        <v>5</v>
      </c>
      <c r="F17" s="152">
        <f>E6-E5</f>
        <v>5</v>
      </c>
    </row>
    <row r="18" spans="1:10" ht="30" x14ac:dyDescent="0.25">
      <c r="A18" s="316"/>
      <c r="C18" s="158" t="s">
        <v>181</v>
      </c>
      <c r="D18" s="153">
        <f>POWER(D16,1/D17)</f>
        <v>1.1486983549970351</v>
      </c>
      <c r="E18" s="153">
        <f>POWER(E16,1/E17)</f>
        <v>1.1112338617639914</v>
      </c>
      <c r="F18" s="153">
        <f>POWER(F16,1/F17)</f>
        <v>1.0679071658456021</v>
      </c>
    </row>
    <row r="19" spans="1:10" ht="92.25" customHeight="1" x14ac:dyDescent="0.25">
      <c r="A19" s="317"/>
      <c r="C19" s="159" t="s">
        <v>182</v>
      </c>
      <c r="D19" s="154">
        <f>1/D18</f>
        <v>0.87055056329612412</v>
      </c>
      <c r="E19" s="154">
        <f>1/E18</f>
        <v>0.89990058295432351</v>
      </c>
      <c r="F19" s="154">
        <f>1/F18</f>
        <v>0.93641098400924105</v>
      </c>
    </row>
    <row r="22" spans="1:10" ht="17.25" x14ac:dyDescent="0.3">
      <c r="C22" s="8" t="s">
        <v>183</v>
      </c>
    </row>
    <row r="23" spans="1:10" x14ac:dyDescent="0.25">
      <c r="A23" s="61" t="s">
        <v>48</v>
      </c>
    </row>
    <row r="24" spans="1:10" ht="42.75" customHeight="1" x14ac:dyDescent="0.25">
      <c r="A24" s="318" t="s">
        <v>184</v>
      </c>
      <c r="C24" s="168"/>
      <c r="D24" s="333" t="s">
        <v>185</v>
      </c>
      <c r="E24" s="333"/>
      <c r="F24" s="334"/>
    </row>
    <row r="25" spans="1:10" ht="40.5" customHeight="1" x14ac:dyDescent="0.25">
      <c r="A25" s="314"/>
      <c r="C25" s="27" t="s">
        <v>60</v>
      </c>
      <c r="D25" s="160" t="str">
        <f>D7</f>
        <v>IEA - Emerging and developed economies</v>
      </c>
      <c r="E25" s="183" t="str">
        <f>D9</f>
        <v>Indicative current price</v>
      </c>
      <c r="F25" s="76" t="str">
        <f>D5</f>
        <v>IEA - Selected EMDE with net zero targets scenario</v>
      </c>
      <c r="I25" s="1"/>
      <c r="J25" s="1"/>
    </row>
    <row r="26" spans="1:10" x14ac:dyDescent="0.25">
      <c r="A26" s="314"/>
      <c r="C26" s="124">
        <v>2024</v>
      </c>
      <c r="D26" s="298">
        <f t="shared" ref="D26:D31" si="0">D27*$D$19</f>
        <v>17.506808522155715</v>
      </c>
      <c r="E26" s="378" t="s">
        <v>259</v>
      </c>
      <c r="F26" s="299">
        <f t="shared" ref="F26:F31" si="1">F27*$F$19</f>
        <v>97.621274435790724</v>
      </c>
    </row>
    <row r="27" spans="1:10" x14ac:dyDescent="0.25">
      <c r="A27" s="314"/>
      <c r="C27" s="89">
        <v>2025</v>
      </c>
      <c r="D27" s="56">
        <f>D28*$D$19</f>
        <v>20.110042150648344</v>
      </c>
      <c r="E27" s="378"/>
      <c r="F27" s="57">
        <f t="shared" si="1"/>
        <v>104.250458508961</v>
      </c>
      <c r="G27" s="246"/>
    </row>
    <row r="28" spans="1:10" x14ac:dyDescent="0.25">
      <c r="A28" s="314"/>
      <c r="C28" s="89">
        <v>2026</v>
      </c>
      <c r="D28" s="56">
        <f t="shared" si="0"/>
        <v>23.100372337370789</v>
      </c>
      <c r="E28" s="378"/>
      <c r="F28" s="57">
        <f t="shared" si="1"/>
        <v>111.32981168440908</v>
      </c>
      <c r="G28" s="246"/>
    </row>
    <row r="29" spans="1:10" x14ac:dyDescent="0.25">
      <c r="A29" s="314"/>
      <c r="C29" s="89">
        <v>2027</v>
      </c>
      <c r="D29" s="56">
        <f t="shared" si="0"/>
        <v>26.535359703756839</v>
      </c>
      <c r="E29" s="378"/>
      <c r="F29" s="57">
        <f t="shared" si="1"/>
        <v>118.88990367002189</v>
      </c>
      <c r="G29" s="246"/>
    </row>
    <row r="30" spans="1:10" x14ac:dyDescent="0.25">
      <c r="A30" s="314"/>
      <c r="C30" s="89">
        <v>2028</v>
      </c>
      <c r="D30" s="56">
        <f t="shared" si="0"/>
        <v>30.48112404096009</v>
      </c>
      <c r="E30" s="378"/>
      <c r="F30" s="57">
        <f t="shared" si="1"/>
        <v>126.96338007590973</v>
      </c>
      <c r="G30" s="246"/>
    </row>
    <row r="31" spans="1:10" x14ac:dyDescent="0.25">
      <c r="A31" s="314"/>
      <c r="C31" s="89">
        <v>2029</v>
      </c>
      <c r="D31" s="56">
        <f t="shared" si="0"/>
        <v>35.013617044311431</v>
      </c>
      <c r="E31" s="378"/>
      <c r="F31" s="57">
        <f t="shared" si="1"/>
        <v>135.58510338304274</v>
      </c>
      <c r="G31" s="246"/>
    </row>
    <row r="32" spans="1:10" x14ac:dyDescent="0.25">
      <c r="A32" s="314"/>
      <c r="C32" s="89">
        <v>2030</v>
      </c>
      <c r="D32" s="296">
        <f>J7</f>
        <v>40.220084301296687</v>
      </c>
      <c r="E32" s="378"/>
      <c r="F32" s="297">
        <f>J5</f>
        <v>144.79230348466811</v>
      </c>
      <c r="G32" s="246"/>
    </row>
    <row r="33" spans="1:7" x14ac:dyDescent="0.25">
      <c r="A33" s="314"/>
      <c r="C33" s="89">
        <v>2031</v>
      </c>
      <c r="D33" s="300">
        <f>D32*$D$18</f>
        <v>46.200744674741578</v>
      </c>
      <c r="E33" s="378"/>
      <c r="F33" s="301">
        <f>F32*$F$18</f>
        <v>154.6247384505682</v>
      </c>
      <c r="G33" s="246"/>
    </row>
    <row r="34" spans="1:7" x14ac:dyDescent="0.25">
      <c r="A34" s="314"/>
      <c r="C34" s="89">
        <v>2032</v>
      </c>
      <c r="D34" s="300">
        <f>D33*$D$18</f>
        <v>53.070719407513678</v>
      </c>
      <c r="E34" s="378"/>
      <c r="F34" s="301">
        <f>F33*$F$18</f>
        <v>165.12486620836378</v>
      </c>
      <c r="G34" s="246"/>
    </row>
    <row r="35" spans="1:7" x14ac:dyDescent="0.25">
      <c r="A35" s="314"/>
      <c r="C35" s="89">
        <v>2033</v>
      </c>
      <c r="D35" s="300">
        <f>D34*$D$18</f>
        <v>60.962248081920187</v>
      </c>
      <c r="E35" s="378"/>
      <c r="F35" s="301">
        <f>F34*$F$18</f>
        <v>176.33802788320799</v>
      </c>
      <c r="G35" s="246"/>
    </row>
    <row r="36" spans="1:7" x14ac:dyDescent="0.25">
      <c r="A36" s="314"/>
      <c r="C36" s="89">
        <v>2034</v>
      </c>
      <c r="D36" s="300">
        <f>D35*$D$18</f>
        <v>70.027234088622876</v>
      </c>
      <c r="E36" s="378"/>
      <c r="F36" s="301">
        <f>F35*$F$18</f>
        <v>188.31264358755939</v>
      </c>
      <c r="G36" s="246"/>
    </row>
    <row r="37" spans="1:7" x14ac:dyDescent="0.25">
      <c r="C37" s="90">
        <v>2035</v>
      </c>
      <c r="D37" s="302">
        <f>D36*$D$18</f>
        <v>80.440168602593403</v>
      </c>
      <c r="E37" s="379"/>
      <c r="F37" s="303">
        <f>F36*$F$18</f>
        <v>201.10042150648354</v>
      </c>
      <c r="G37" s="246"/>
    </row>
    <row r="38" spans="1:7" ht="15.75" thickBot="1" x14ac:dyDescent="0.3"/>
    <row r="39" spans="1:7" ht="16.5" thickTop="1" thickBot="1" x14ac:dyDescent="0.3">
      <c r="C39" s="220" t="s">
        <v>186</v>
      </c>
      <c r="D39" s="197">
        <f>D37-J8</f>
        <v>0</v>
      </c>
      <c r="F39" s="197">
        <f>F37-J6</f>
        <v>0</v>
      </c>
    </row>
    <row r="40" spans="1:7" ht="16.5" thickTop="1" thickBot="1" x14ac:dyDescent="0.3">
      <c r="C40" t="s">
        <v>187</v>
      </c>
      <c r="D40" s="197">
        <f>2030-E5</f>
        <v>0</v>
      </c>
      <c r="E40" s="197">
        <f>E9-2024</f>
        <v>0</v>
      </c>
      <c r="F40" s="197">
        <f>E7-2030</f>
        <v>0</v>
      </c>
    </row>
    <row r="41" spans="1:7" ht="15.75" thickTop="1" x14ac:dyDescent="0.25">
      <c r="D41" s="246"/>
    </row>
    <row r="42" spans="1:7" x14ac:dyDescent="0.25">
      <c r="D42" s="246"/>
    </row>
    <row r="43" spans="1:7" x14ac:dyDescent="0.25">
      <c r="D43" s="246"/>
    </row>
    <row r="44" spans="1:7" x14ac:dyDescent="0.25">
      <c r="D44" s="246"/>
    </row>
    <row r="45" spans="1:7" x14ac:dyDescent="0.25">
      <c r="C45" s="70" t="s">
        <v>188</v>
      </c>
      <c r="D45" s="70"/>
    </row>
  </sheetData>
  <mergeCells count="6">
    <mergeCell ref="D24:F24"/>
    <mergeCell ref="A4:A6"/>
    <mergeCell ref="A15:A19"/>
    <mergeCell ref="A24:A36"/>
    <mergeCell ref="C4:C9"/>
    <mergeCell ref="E26:E37"/>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3A38D-FF2E-4B04-AD3F-944E70408B7D}">
  <sheetPr codeName="Sheet12">
    <tabColor theme="9"/>
  </sheetPr>
  <dimension ref="A1:AI49"/>
  <sheetViews>
    <sheetView zoomScaleNormal="100" workbookViewId="0">
      <selection activeCell="A4" sqref="A4:A47"/>
    </sheetView>
  </sheetViews>
  <sheetFormatPr defaultRowHeight="15" x14ac:dyDescent="0.25"/>
  <cols>
    <col min="1" max="1" width="30.5703125" customWidth="1"/>
    <col min="2" max="2" width="4.5703125" customWidth="1"/>
    <col min="3" max="3" width="30.5703125" customWidth="1"/>
    <col min="4" max="7" width="30.5703125" style="15" customWidth="1"/>
    <col min="10" max="14" width="30.5703125" customWidth="1"/>
    <col min="15" max="16" width="9.140625" customWidth="1"/>
    <col min="17" max="21" width="30.5703125" customWidth="1"/>
    <col min="24" max="28" width="30.5703125" customWidth="1"/>
    <col min="31" max="35" width="30.5703125" customWidth="1"/>
  </cols>
  <sheetData>
    <row r="1" spans="1:35" ht="16.5" thickTop="1" thickBot="1" x14ac:dyDescent="0.3">
      <c r="C1" t="s">
        <v>45</v>
      </c>
      <c r="D1" t="s">
        <v>56</v>
      </c>
      <c r="E1" s="197" t="e">
        <f ca="1">Checks!$D$17</f>
        <v>#VALUE!</v>
      </c>
      <c r="F1" t="s">
        <v>57</v>
      </c>
      <c r="G1" s="197"/>
    </row>
    <row r="2" spans="1:35" ht="18" thickTop="1" x14ac:dyDescent="0.3">
      <c r="C2" s="8" t="s">
        <v>189</v>
      </c>
    </row>
    <row r="3" spans="1:35" x14ac:dyDescent="0.25">
      <c r="A3" s="61" t="s">
        <v>48</v>
      </c>
    </row>
    <row r="4" spans="1:35" ht="29.1" customHeight="1" x14ac:dyDescent="0.25">
      <c r="A4" s="315" t="s">
        <v>190</v>
      </c>
      <c r="C4" t="s">
        <v>191</v>
      </c>
      <c r="D4" s="251">
        <f>Inputs!$D$38</f>
        <v>51</v>
      </c>
      <c r="J4" t="s">
        <v>191</v>
      </c>
      <c r="K4" s="251">
        <f>Inputs!$E$38</f>
        <v>55</v>
      </c>
      <c r="L4" s="15"/>
      <c r="M4" s="15"/>
      <c r="N4" s="15"/>
      <c r="Q4" t="s">
        <v>191</v>
      </c>
      <c r="R4" s="251">
        <f>Inputs!$F$38</f>
        <v>60</v>
      </c>
      <c r="S4" s="15"/>
      <c r="T4" s="15"/>
      <c r="U4" s="15"/>
      <c r="X4" t="s">
        <v>191</v>
      </c>
      <c r="Y4" s="251">
        <f>Inputs!$G$38</f>
        <v>65</v>
      </c>
      <c r="Z4" s="15"/>
      <c r="AA4" s="15"/>
      <c r="AB4" s="15"/>
      <c r="AE4" t="s">
        <v>191</v>
      </c>
      <c r="AF4" s="251">
        <f>Inputs!$H$38</f>
        <v>70</v>
      </c>
      <c r="AG4" s="15"/>
      <c r="AH4" s="15"/>
      <c r="AI4" s="15"/>
    </row>
    <row r="5" spans="1:35" x14ac:dyDescent="0.25">
      <c r="A5" s="316"/>
      <c r="K5" s="15"/>
      <c r="L5" s="15"/>
      <c r="M5" s="15"/>
      <c r="N5" s="15"/>
      <c r="R5" s="15"/>
      <c r="S5" s="15"/>
      <c r="T5" s="15"/>
      <c r="U5" s="15"/>
      <c r="Y5" s="15"/>
      <c r="Z5" s="15"/>
      <c r="AA5" s="15"/>
      <c r="AB5" s="15"/>
      <c r="AF5" s="15"/>
      <c r="AG5" s="15"/>
      <c r="AH5" s="15"/>
      <c r="AI5" s="15"/>
    </row>
    <row r="6" spans="1:35" ht="30" customHeight="1" x14ac:dyDescent="0.25">
      <c r="A6" s="316"/>
      <c r="C6" s="336" t="s">
        <v>61</v>
      </c>
      <c r="D6" s="132" t="s">
        <v>60</v>
      </c>
      <c r="E6" s="183" t="str">
        <f>Inputs!$C$52</f>
        <v>IEA - Emerging and developed economies</v>
      </c>
      <c r="F6" s="183" t="s">
        <v>192</v>
      </c>
      <c r="G6" s="247" t="str">
        <f>Inputs!$C$50</f>
        <v>IEA - Selected EMDE with net zero targets scenario</v>
      </c>
      <c r="J6" s="336" t="s">
        <v>61</v>
      </c>
      <c r="K6" s="132" t="s">
        <v>60</v>
      </c>
      <c r="L6" s="183" t="str">
        <f>Inputs!$C$52</f>
        <v>IEA - Emerging and developed economies</v>
      </c>
      <c r="M6" s="183" t="s">
        <v>192</v>
      </c>
      <c r="N6" s="247" t="str">
        <f>Inputs!$C$50</f>
        <v>IEA - Selected EMDE with net zero targets scenario</v>
      </c>
      <c r="Q6" s="336" t="s">
        <v>61</v>
      </c>
      <c r="R6" s="132" t="s">
        <v>60</v>
      </c>
      <c r="S6" s="183" t="str">
        <f>Inputs!$C$52</f>
        <v>IEA - Emerging and developed economies</v>
      </c>
      <c r="T6" s="183" t="s">
        <v>192</v>
      </c>
      <c r="U6" s="247" t="str">
        <f>Inputs!$C$50</f>
        <v>IEA - Selected EMDE with net zero targets scenario</v>
      </c>
      <c r="X6" s="336" t="s">
        <v>61</v>
      </c>
      <c r="Y6" s="132" t="s">
        <v>60</v>
      </c>
      <c r="Z6" s="183" t="str">
        <f>Inputs!$C$52</f>
        <v>IEA - Emerging and developed economies</v>
      </c>
      <c r="AA6" s="183" t="s">
        <v>192</v>
      </c>
      <c r="AB6" s="247" t="str">
        <f>Inputs!$C$50</f>
        <v>IEA - Selected EMDE with net zero targets scenario</v>
      </c>
      <c r="AE6" s="336" t="s">
        <v>61</v>
      </c>
      <c r="AF6" s="132" t="s">
        <v>60</v>
      </c>
      <c r="AG6" s="183" t="str">
        <f>Inputs!$C$52</f>
        <v>IEA - Emerging and developed economies</v>
      </c>
      <c r="AH6" s="183" t="s">
        <v>192</v>
      </c>
      <c r="AI6" s="247" t="str">
        <f>Inputs!$C$50</f>
        <v>IEA - Selected EMDE with net zero targets scenario</v>
      </c>
    </row>
    <row r="7" spans="1:35" x14ac:dyDescent="0.25">
      <c r="A7" s="316"/>
      <c r="C7" s="337"/>
      <c r="D7" s="42">
        <v>2024</v>
      </c>
      <c r="E7" s="248">
        <f>'Calcs - Volume Scenarios'!$E33*'Calcs - Price Scenarios'!$D26</f>
        <v>0</v>
      </c>
      <c r="F7" s="96" t="e">
        <f>'Calcs - Volume Scenarios'!$E33*'Calcs - Price Scenarios'!$E26</f>
        <v>#VALUE!</v>
      </c>
      <c r="G7" s="97">
        <f>'Calcs - Volume Scenarios'!$E33*'Calcs - Price Scenarios'!$F26</f>
        <v>0</v>
      </c>
      <c r="J7" s="337"/>
      <c r="K7" s="42">
        <v>2024</v>
      </c>
      <c r="L7" s="248">
        <f>'Calcs - Volume Scenarios'!$L33*'Calcs - Price Scenarios'!$D26</f>
        <v>0</v>
      </c>
      <c r="M7" s="96" t="e">
        <f>'Calcs - Volume Scenarios'!$L33*'Calcs - Price Scenarios'!$E26</f>
        <v>#VALUE!</v>
      </c>
      <c r="N7" s="97">
        <f>'Calcs - Volume Scenarios'!$L33*'Calcs - Price Scenarios'!$F26</f>
        <v>0</v>
      </c>
      <c r="Q7" s="337"/>
      <c r="R7" s="42">
        <v>2024</v>
      </c>
      <c r="S7" s="248">
        <f>'Calcs - Volume Scenarios'!$S33*'Calcs - Price Scenarios'!$D26</f>
        <v>0</v>
      </c>
      <c r="T7" s="96" t="e">
        <f>'Calcs - Volume Scenarios'!$S33*'Calcs - Price Scenarios'!$E26</f>
        <v>#VALUE!</v>
      </c>
      <c r="U7" s="97">
        <f>'Calcs - Volume Scenarios'!$S33*'Calcs - Price Scenarios'!$F26</f>
        <v>0</v>
      </c>
      <c r="X7" s="337"/>
      <c r="Y7" s="42">
        <v>2024</v>
      </c>
      <c r="Z7" s="248">
        <f>'Calcs - Volume Scenarios'!$Z33*'Calcs - Price Scenarios'!$D26</f>
        <v>0</v>
      </c>
      <c r="AA7" s="96" t="e">
        <f>'Calcs - Volume Scenarios'!$Z33*'Calcs - Price Scenarios'!$E26</f>
        <v>#VALUE!</v>
      </c>
      <c r="AB7" s="97">
        <f>'Calcs - Volume Scenarios'!$Z33*'Calcs - Price Scenarios'!$F26</f>
        <v>0</v>
      </c>
      <c r="AE7" s="337"/>
      <c r="AF7" s="42">
        <v>2024</v>
      </c>
      <c r="AG7" s="248">
        <f>'Calcs - Volume Scenarios'!$AG33*'Calcs - Price Scenarios'!$D26</f>
        <v>0</v>
      </c>
      <c r="AH7" s="96" t="e">
        <f>'Calcs - Volume Scenarios'!$AG33*'Calcs - Price Scenarios'!$E26</f>
        <v>#VALUE!</v>
      </c>
      <c r="AI7" s="97">
        <f>'Calcs - Volume Scenarios'!$AG33*'Calcs - Price Scenarios'!$F26</f>
        <v>0</v>
      </c>
    </row>
    <row r="8" spans="1:35" x14ac:dyDescent="0.25">
      <c r="A8" s="316"/>
      <c r="C8" s="337"/>
      <c r="D8" s="43">
        <v>2025</v>
      </c>
      <c r="E8" s="249">
        <f>'Calcs - Volume Scenarios'!$E34*'Calcs - Price Scenarios'!$D27</f>
        <v>0</v>
      </c>
      <c r="F8" s="98">
        <f>'Calcs - Volume Scenarios'!$E34*'Calcs - Price Scenarios'!$E27</f>
        <v>0</v>
      </c>
      <c r="G8" s="99">
        <f>'Calcs - Volume Scenarios'!$E34*'Calcs - Price Scenarios'!$F27</f>
        <v>0</v>
      </c>
      <c r="J8" s="337"/>
      <c r="K8" s="43">
        <v>2025</v>
      </c>
      <c r="L8" s="249">
        <f>'Calcs - Volume Scenarios'!$L34*'Calcs - Price Scenarios'!$D27</f>
        <v>0</v>
      </c>
      <c r="M8" s="98">
        <f>'Calcs - Volume Scenarios'!$L34*'Calcs - Price Scenarios'!$E27</f>
        <v>0</v>
      </c>
      <c r="N8" s="99">
        <f>'Calcs - Volume Scenarios'!$L34*'Calcs - Price Scenarios'!$F27</f>
        <v>0</v>
      </c>
      <c r="Q8" s="337"/>
      <c r="R8" s="43">
        <v>2025</v>
      </c>
      <c r="S8" s="249">
        <f>'Calcs - Volume Scenarios'!$S34*'Calcs - Price Scenarios'!$D27</f>
        <v>0</v>
      </c>
      <c r="T8" s="98">
        <f>'Calcs - Volume Scenarios'!$S34*'Calcs - Price Scenarios'!$E27</f>
        <v>0</v>
      </c>
      <c r="U8" s="99">
        <f>'Calcs - Volume Scenarios'!$S34*'Calcs - Price Scenarios'!$F27</f>
        <v>0</v>
      </c>
      <c r="X8" s="337"/>
      <c r="Y8" s="43">
        <v>2025</v>
      </c>
      <c r="Z8" s="249">
        <f>'Calcs - Volume Scenarios'!$Z34*'Calcs - Price Scenarios'!$D27</f>
        <v>0</v>
      </c>
      <c r="AA8" s="98">
        <f>'Calcs - Volume Scenarios'!$Z34*'Calcs - Price Scenarios'!$E27</f>
        <v>0</v>
      </c>
      <c r="AB8" s="99">
        <f>'Calcs - Volume Scenarios'!$Z34*'Calcs - Price Scenarios'!$F27</f>
        <v>0</v>
      </c>
      <c r="AE8" s="337"/>
      <c r="AF8" s="43">
        <v>2025</v>
      </c>
      <c r="AG8" s="249">
        <f>'Calcs - Volume Scenarios'!$AG34*'Calcs - Price Scenarios'!$D27</f>
        <v>0</v>
      </c>
      <c r="AH8" s="98">
        <f>'Calcs - Volume Scenarios'!$AG34*'Calcs - Price Scenarios'!$E27</f>
        <v>0</v>
      </c>
      <c r="AI8" s="99">
        <f>'Calcs - Volume Scenarios'!$AG34*'Calcs - Price Scenarios'!$F27</f>
        <v>0</v>
      </c>
    </row>
    <row r="9" spans="1:35" x14ac:dyDescent="0.25">
      <c r="A9" s="316"/>
      <c r="C9" s="337"/>
      <c r="D9" s="43">
        <v>2026</v>
      </c>
      <c r="E9" s="249">
        <f>'Calcs - Volume Scenarios'!$E35*'Calcs - Price Scenarios'!$D28</f>
        <v>0</v>
      </c>
      <c r="F9" s="98">
        <f>'Calcs - Volume Scenarios'!$E35*'Calcs - Price Scenarios'!$E28</f>
        <v>0</v>
      </c>
      <c r="G9" s="99">
        <f>'Calcs - Volume Scenarios'!$E35*'Calcs - Price Scenarios'!$F28</f>
        <v>0</v>
      </c>
      <c r="J9" s="337"/>
      <c r="K9" s="43">
        <v>2026</v>
      </c>
      <c r="L9" s="249">
        <f>'Calcs - Volume Scenarios'!$L35*'Calcs - Price Scenarios'!$D28</f>
        <v>0</v>
      </c>
      <c r="M9" s="98">
        <f>'Calcs - Volume Scenarios'!$L35*'Calcs - Price Scenarios'!$E28</f>
        <v>0</v>
      </c>
      <c r="N9" s="99">
        <f>'Calcs - Volume Scenarios'!$L35*'Calcs - Price Scenarios'!$F28</f>
        <v>0</v>
      </c>
      <c r="Q9" s="337"/>
      <c r="R9" s="43">
        <v>2026</v>
      </c>
      <c r="S9" s="249">
        <f>'Calcs - Volume Scenarios'!$S35*'Calcs - Price Scenarios'!$D28</f>
        <v>0</v>
      </c>
      <c r="T9" s="98">
        <f>'Calcs - Volume Scenarios'!$S35*'Calcs - Price Scenarios'!$E28</f>
        <v>0</v>
      </c>
      <c r="U9" s="99">
        <f>'Calcs - Volume Scenarios'!$S35*'Calcs - Price Scenarios'!$F28</f>
        <v>0</v>
      </c>
      <c r="X9" s="337"/>
      <c r="Y9" s="43">
        <v>2026</v>
      </c>
      <c r="Z9" s="249">
        <f>'Calcs - Volume Scenarios'!$Z35*'Calcs - Price Scenarios'!$D28</f>
        <v>0</v>
      </c>
      <c r="AA9" s="98">
        <f>'Calcs - Volume Scenarios'!$Z35*'Calcs - Price Scenarios'!$E28</f>
        <v>0</v>
      </c>
      <c r="AB9" s="99">
        <f>'Calcs - Volume Scenarios'!$Z35*'Calcs - Price Scenarios'!$F28</f>
        <v>0</v>
      </c>
      <c r="AE9" s="337"/>
      <c r="AF9" s="43">
        <v>2026</v>
      </c>
      <c r="AG9" s="249">
        <f>'Calcs - Volume Scenarios'!$AG35*'Calcs - Price Scenarios'!$D28</f>
        <v>0</v>
      </c>
      <c r="AH9" s="98">
        <f>'Calcs - Volume Scenarios'!$AG35*'Calcs - Price Scenarios'!$E28</f>
        <v>0</v>
      </c>
      <c r="AI9" s="99">
        <f>'Calcs - Volume Scenarios'!$AG35*'Calcs - Price Scenarios'!$F28</f>
        <v>0</v>
      </c>
    </row>
    <row r="10" spans="1:35" x14ac:dyDescent="0.25">
      <c r="A10" s="316"/>
      <c r="C10" s="337"/>
      <c r="D10" s="43">
        <v>2027</v>
      </c>
      <c r="E10" s="249">
        <f>'Calcs - Volume Scenarios'!$E36*'Calcs - Price Scenarios'!$D29</f>
        <v>0</v>
      </c>
      <c r="F10" s="98">
        <f>'Calcs - Volume Scenarios'!$E36*'Calcs - Price Scenarios'!$E29</f>
        <v>0</v>
      </c>
      <c r="G10" s="99">
        <f>'Calcs - Volume Scenarios'!$E36*'Calcs - Price Scenarios'!$F29</f>
        <v>0</v>
      </c>
      <c r="J10" s="337"/>
      <c r="K10" s="43">
        <v>2027</v>
      </c>
      <c r="L10" s="249">
        <f>'Calcs - Volume Scenarios'!$L36*'Calcs - Price Scenarios'!$D29</f>
        <v>0</v>
      </c>
      <c r="M10" s="98">
        <f>'Calcs - Volume Scenarios'!$L36*'Calcs - Price Scenarios'!$E29</f>
        <v>0</v>
      </c>
      <c r="N10" s="99">
        <f>'Calcs - Volume Scenarios'!$L36*'Calcs - Price Scenarios'!$F29</f>
        <v>0</v>
      </c>
      <c r="Q10" s="337"/>
      <c r="R10" s="43">
        <v>2027</v>
      </c>
      <c r="S10" s="249">
        <f>'Calcs - Volume Scenarios'!$S36*'Calcs - Price Scenarios'!$D29</f>
        <v>0</v>
      </c>
      <c r="T10" s="98">
        <f>'Calcs - Volume Scenarios'!$S36*'Calcs - Price Scenarios'!$E29</f>
        <v>0</v>
      </c>
      <c r="U10" s="99">
        <f>'Calcs - Volume Scenarios'!$S36*'Calcs - Price Scenarios'!$F29</f>
        <v>0</v>
      </c>
      <c r="X10" s="337"/>
      <c r="Y10" s="43">
        <v>2027</v>
      </c>
      <c r="Z10" s="249">
        <f>'Calcs - Volume Scenarios'!$Z36*'Calcs - Price Scenarios'!$D29</f>
        <v>0</v>
      </c>
      <c r="AA10" s="98">
        <f>'Calcs - Volume Scenarios'!$Z36*'Calcs - Price Scenarios'!$E29</f>
        <v>0</v>
      </c>
      <c r="AB10" s="99">
        <f>'Calcs - Volume Scenarios'!$Z36*'Calcs - Price Scenarios'!$F29</f>
        <v>0</v>
      </c>
      <c r="AE10" s="337"/>
      <c r="AF10" s="43">
        <v>2027</v>
      </c>
      <c r="AG10" s="249">
        <f>'Calcs - Volume Scenarios'!$AG36*'Calcs - Price Scenarios'!$D29</f>
        <v>0</v>
      </c>
      <c r="AH10" s="98">
        <f>'Calcs - Volume Scenarios'!$AG36*'Calcs - Price Scenarios'!$E29</f>
        <v>0</v>
      </c>
      <c r="AI10" s="99">
        <f>'Calcs - Volume Scenarios'!$AG36*'Calcs - Price Scenarios'!$F29</f>
        <v>0</v>
      </c>
    </row>
    <row r="11" spans="1:35" x14ac:dyDescent="0.25">
      <c r="A11" s="316"/>
      <c r="C11" s="337"/>
      <c r="D11" s="43">
        <v>2028</v>
      </c>
      <c r="E11" s="249">
        <f>'Calcs - Volume Scenarios'!$E37*'Calcs - Price Scenarios'!$D30</f>
        <v>0</v>
      </c>
      <c r="F11" s="98">
        <f>'Calcs - Volume Scenarios'!$E37*'Calcs - Price Scenarios'!$E30</f>
        <v>0</v>
      </c>
      <c r="G11" s="99">
        <f>'Calcs - Volume Scenarios'!$E37*'Calcs - Price Scenarios'!$F30</f>
        <v>0</v>
      </c>
      <c r="J11" s="337"/>
      <c r="K11" s="43">
        <v>2028</v>
      </c>
      <c r="L11" s="249">
        <f>'Calcs - Volume Scenarios'!$L37*'Calcs - Price Scenarios'!$D30</f>
        <v>0</v>
      </c>
      <c r="M11" s="98">
        <f>'Calcs - Volume Scenarios'!$L37*'Calcs - Price Scenarios'!$E30</f>
        <v>0</v>
      </c>
      <c r="N11" s="99">
        <f>'Calcs - Volume Scenarios'!$L37*'Calcs - Price Scenarios'!$F30</f>
        <v>0</v>
      </c>
      <c r="Q11" s="337"/>
      <c r="R11" s="43">
        <v>2028</v>
      </c>
      <c r="S11" s="249">
        <f>'Calcs - Volume Scenarios'!$S37*'Calcs - Price Scenarios'!$D30</f>
        <v>0</v>
      </c>
      <c r="T11" s="98">
        <f>'Calcs - Volume Scenarios'!$S37*'Calcs - Price Scenarios'!$E30</f>
        <v>0</v>
      </c>
      <c r="U11" s="99">
        <f>'Calcs - Volume Scenarios'!$S37*'Calcs - Price Scenarios'!$F30</f>
        <v>0</v>
      </c>
      <c r="X11" s="337"/>
      <c r="Y11" s="43">
        <v>2028</v>
      </c>
      <c r="Z11" s="249">
        <f>'Calcs - Volume Scenarios'!$Z37*'Calcs - Price Scenarios'!$D30</f>
        <v>0</v>
      </c>
      <c r="AA11" s="98">
        <f>'Calcs - Volume Scenarios'!$Z37*'Calcs - Price Scenarios'!$E30</f>
        <v>0</v>
      </c>
      <c r="AB11" s="99">
        <f>'Calcs - Volume Scenarios'!$Z37*'Calcs - Price Scenarios'!$F30</f>
        <v>0</v>
      </c>
      <c r="AE11" s="337"/>
      <c r="AF11" s="43">
        <v>2028</v>
      </c>
      <c r="AG11" s="249">
        <f>'Calcs - Volume Scenarios'!$AG37*'Calcs - Price Scenarios'!$D30</f>
        <v>0</v>
      </c>
      <c r="AH11" s="98">
        <f>'Calcs - Volume Scenarios'!$AG37*'Calcs - Price Scenarios'!$E30</f>
        <v>0</v>
      </c>
      <c r="AI11" s="99">
        <f>'Calcs - Volume Scenarios'!$AG37*'Calcs - Price Scenarios'!$F30</f>
        <v>0</v>
      </c>
    </row>
    <row r="12" spans="1:35" x14ac:dyDescent="0.25">
      <c r="A12" s="316"/>
      <c r="C12" s="337"/>
      <c r="D12" s="43">
        <v>2029</v>
      </c>
      <c r="E12" s="249">
        <f>'Calcs - Volume Scenarios'!$E38*'Calcs - Price Scenarios'!$D31</f>
        <v>0</v>
      </c>
      <c r="F12" s="98">
        <f>'Calcs - Volume Scenarios'!$E38*'Calcs - Price Scenarios'!$E31</f>
        <v>0</v>
      </c>
      <c r="G12" s="99">
        <f>'Calcs - Volume Scenarios'!$E38*'Calcs - Price Scenarios'!$F31</f>
        <v>0</v>
      </c>
      <c r="J12" s="337"/>
      <c r="K12" s="43">
        <v>2029</v>
      </c>
      <c r="L12" s="249">
        <f>'Calcs - Volume Scenarios'!$L38*'Calcs - Price Scenarios'!$D31</f>
        <v>0</v>
      </c>
      <c r="M12" s="98">
        <f>'Calcs - Volume Scenarios'!$L38*'Calcs - Price Scenarios'!$E31</f>
        <v>0</v>
      </c>
      <c r="N12" s="99">
        <f>'Calcs - Volume Scenarios'!$L38*'Calcs - Price Scenarios'!$F31</f>
        <v>0</v>
      </c>
      <c r="Q12" s="337"/>
      <c r="R12" s="43">
        <v>2029</v>
      </c>
      <c r="S12" s="249">
        <f>'Calcs - Volume Scenarios'!$S38*'Calcs - Price Scenarios'!$D31</f>
        <v>0</v>
      </c>
      <c r="T12" s="98">
        <f>'Calcs - Volume Scenarios'!$S38*'Calcs - Price Scenarios'!$E31</f>
        <v>0</v>
      </c>
      <c r="U12" s="99">
        <f>'Calcs - Volume Scenarios'!$S38*'Calcs - Price Scenarios'!$F31</f>
        <v>0</v>
      </c>
      <c r="X12" s="337"/>
      <c r="Y12" s="43">
        <v>2029</v>
      </c>
      <c r="Z12" s="249">
        <f>'Calcs - Volume Scenarios'!$Z38*'Calcs - Price Scenarios'!$D31</f>
        <v>0</v>
      </c>
      <c r="AA12" s="98">
        <f>'Calcs - Volume Scenarios'!$Z38*'Calcs - Price Scenarios'!$E31</f>
        <v>0</v>
      </c>
      <c r="AB12" s="99">
        <f>'Calcs - Volume Scenarios'!$Z38*'Calcs - Price Scenarios'!$F31</f>
        <v>0</v>
      </c>
      <c r="AE12" s="337"/>
      <c r="AF12" s="43">
        <v>2029</v>
      </c>
      <c r="AG12" s="249">
        <f>'Calcs - Volume Scenarios'!$AG38*'Calcs - Price Scenarios'!$D31</f>
        <v>0</v>
      </c>
      <c r="AH12" s="98">
        <f>'Calcs - Volume Scenarios'!$AG38*'Calcs - Price Scenarios'!$E31</f>
        <v>0</v>
      </c>
      <c r="AI12" s="99">
        <f>'Calcs - Volume Scenarios'!$AG38*'Calcs - Price Scenarios'!$F31</f>
        <v>0</v>
      </c>
    </row>
    <row r="13" spans="1:35" x14ac:dyDescent="0.25">
      <c r="A13" s="316"/>
      <c r="C13" s="337"/>
      <c r="D13" s="43">
        <v>2030</v>
      </c>
      <c r="E13" s="249">
        <f>'Calcs - Volume Scenarios'!$E39*'Calcs - Price Scenarios'!$D32</f>
        <v>0</v>
      </c>
      <c r="F13" s="98">
        <f>'Calcs - Volume Scenarios'!$E39*'Calcs - Price Scenarios'!$E32</f>
        <v>0</v>
      </c>
      <c r="G13" s="99">
        <f>'Calcs - Volume Scenarios'!$E39*'Calcs - Price Scenarios'!$F32</f>
        <v>0</v>
      </c>
      <c r="J13" s="337"/>
      <c r="K13" s="43">
        <v>2030</v>
      </c>
      <c r="L13" s="249">
        <f>'Calcs - Volume Scenarios'!$L39*'Calcs - Price Scenarios'!$D32</f>
        <v>0</v>
      </c>
      <c r="M13" s="98">
        <f>'Calcs - Volume Scenarios'!$L39*'Calcs - Price Scenarios'!$E32</f>
        <v>0</v>
      </c>
      <c r="N13" s="99">
        <f>'Calcs - Volume Scenarios'!$L39*'Calcs - Price Scenarios'!$F32</f>
        <v>0</v>
      </c>
      <c r="Q13" s="337"/>
      <c r="R13" s="43">
        <v>2030</v>
      </c>
      <c r="S13" s="249">
        <f>'Calcs - Volume Scenarios'!$S39*'Calcs - Price Scenarios'!$D32</f>
        <v>0</v>
      </c>
      <c r="T13" s="98">
        <f>'Calcs - Volume Scenarios'!$S39*'Calcs - Price Scenarios'!$E32</f>
        <v>0</v>
      </c>
      <c r="U13" s="99">
        <f>'Calcs - Volume Scenarios'!$S39*'Calcs - Price Scenarios'!$F32</f>
        <v>0</v>
      </c>
      <c r="X13" s="337"/>
      <c r="Y13" s="43">
        <v>2030</v>
      </c>
      <c r="Z13" s="249">
        <f>'Calcs - Volume Scenarios'!$Z39*'Calcs - Price Scenarios'!$D32</f>
        <v>0</v>
      </c>
      <c r="AA13" s="98">
        <f>'Calcs - Volume Scenarios'!$Z39*'Calcs - Price Scenarios'!$E32</f>
        <v>0</v>
      </c>
      <c r="AB13" s="99">
        <f>'Calcs - Volume Scenarios'!$Z39*'Calcs - Price Scenarios'!$F32</f>
        <v>0</v>
      </c>
      <c r="AE13" s="337"/>
      <c r="AF13" s="43">
        <v>2030</v>
      </c>
      <c r="AG13" s="249">
        <f>'Calcs - Volume Scenarios'!$AG39*'Calcs - Price Scenarios'!$D32</f>
        <v>0</v>
      </c>
      <c r="AH13" s="98">
        <f>'Calcs - Volume Scenarios'!$AG39*'Calcs - Price Scenarios'!$E32</f>
        <v>0</v>
      </c>
      <c r="AI13" s="99">
        <f>'Calcs - Volume Scenarios'!$AG39*'Calcs - Price Scenarios'!$F32</f>
        <v>0</v>
      </c>
    </row>
    <row r="14" spans="1:35" x14ac:dyDescent="0.25">
      <c r="A14" s="316"/>
      <c r="C14" s="337"/>
      <c r="D14" s="43">
        <v>2031</v>
      </c>
      <c r="E14" s="249">
        <f>'Calcs - Volume Scenarios'!$E40*'Calcs - Price Scenarios'!$D33</f>
        <v>0</v>
      </c>
      <c r="F14" s="98">
        <f>'Calcs - Volume Scenarios'!$E40*'Calcs - Price Scenarios'!$E33</f>
        <v>0</v>
      </c>
      <c r="G14" s="99">
        <f>'Calcs - Volume Scenarios'!$E40*'Calcs - Price Scenarios'!$F33</f>
        <v>0</v>
      </c>
      <c r="J14" s="337"/>
      <c r="K14" s="43">
        <v>2031</v>
      </c>
      <c r="L14" s="249">
        <f>'Calcs - Volume Scenarios'!$L40*'Calcs - Price Scenarios'!$D33</f>
        <v>89.283867074707388</v>
      </c>
      <c r="M14" s="98">
        <f>'Calcs - Volume Scenarios'!$L40*'Calcs - Price Scenarios'!$E33</f>
        <v>0</v>
      </c>
      <c r="N14" s="99">
        <f>'Calcs - Volume Scenarios'!$L40*'Calcs - Price Scenarios'!$F33</f>
        <v>298.81541285696056</v>
      </c>
      <c r="Q14" s="337"/>
      <c r="R14" s="43">
        <v>2031</v>
      </c>
      <c r="S14" s="249">
        <f>'Calcs - Volume Scenarios'!$S40*'Calcs - Price Scenarios'!$D33</f>
        <v>209.3347152414652</v>
      </c>
      <c r="T14" s="98">
        <f>'Calcs - Volume Scenarios'!$S40*'Calcs - Price Scenarios'!$E33</f>
        <v>0</v>
      </c>
      <c r="U14" s="99">
        <f>'Calcs - Volume Scenarios'!$S40*'Calcs - Price Scenarios'!$F33</f>
        <v>700.60181541904512</v>
      </c>
      <c r="X14" s="337"/>
      <c r="Y14" s="43">
        <v>2031</v>
      </c>
      <c r="Z14" s="249">
        <f>'Calcs - Volume Scenarios'!$Z40*'Calcs - Price Scenarios'!$D33</f>
        <v>329.38556340822328</v>
      </c>
      <c r="AA14" s="98">
        <f>'Calcs - Volume Scenarios'!$Z40*'Calcs - Price Scenarios'!$E33</f>
        <v>0</v>
      </c>
      <c r="AB14" s="99">
        <f>'Calcs - Volume Scenarios'!$Z40*'Calcs - Price Scenarios'!$F33</f>
        <v>1102.3882179811305</v>
      </c>
      <c r="AE14" s="337"/>
      <c r="AF14" s="43">
        <v>2031</v>
      </c>
      <c r="AG14" s="249">
        <f>'Calcs - Volume Scenarios'!$AG40*'Calcs - Price Scenarios'!$D33</f>
        <v>449.43641157498109</v>
      </c>
      <c r="AH14" s="98">
        <f>'Calcs - Volume Scenarios'!$AG40*'Calcs - Price Scenarios'!$E33</f>
        <v>0</v>
      </c>
      <c r="AI14" s="99">
        <f>'Calcs - Volume Scenarios'!$AG40*'Calcs - Price Scenarios'!$F33</f>
        <v>1504.174620543215</v>
      </c>
    </row>
    <row r="15" spans="1:35" x14ac:dyDescent="0.25">
      <c r="A15" s="316"/>
      <c r="C15" s="337"/>
      <c r="D15" s="43">
        <v>2032</v>
      </c>
      <c r="E15" s="249">
        <f>'Calcs - Volume Scenarios'!$E41*'Calcs - Price Scenarios'!$D34</f>
        <v>0</v>
      </c>
      <c r="F15" s="98">
        <f>'Calcs - Volume Scenarios'!$E41*'Calcs - Price Scenarios'!$E34</f>
        <v>0</v>
      </c>
      <c r="G15" s="99">
        <f>'Calcs - Volume Scenarios'!$E41*'Calcs - Price Scenarios'!$F34</f>
        <v>0</v>
      </c>
      <c r="J15" s="337"/>
      <c r="K15" s="43">
        <v>2032</v>
      </c>
      <c r="L15" s="249">
        <f>'Calcs - Volume Scenarios'!$L41*'Calcs - Price Scenarios'!$D34</f>
        <v>102.56023123649031</v>
      </c>
      <c r="M15" s="98">
        <f>'Calcs - Volume Scenarios'!$L41*'Calcs - Price Scenarios'!$E34</f>
        <v>0</v>
      </c>
      <c r="N15" s="99">
        <f>'Calcs - Volume Scenarios'!$L41*'Calcs - Price Scenarios'!$F34</f>
        <v>319.10712065506021</v>
      </c>
      <c r="Q15" s="337"/>
      <c r="R15" s="43">
        <v>2032</v>
      </c>
      <c r="S15" s="249">
        <f>'Calcs - Volume Scenarios'!$S41*'Calcs - Price Scenarios'!$D34</f>
        <v>240.46244304164384</v>
      </c>
      <c r="T15" s="98">
        <f>'Calcs - Volume Scenarios'!$S41*'Calcs - Price Scenarios'!$E34</f>
        <v>0</v>
      </c>
      <c r="U15" s="99">
        <f>'Calcs - Volume Scenarios'!$S41*'Calcs - Price Scenarios'!$F34</f>
        <v>748.17769909043602</v>
      </c>
      <c r="X15" s="337"/>
      <c r="Y15" s="43">
        <v>2032</v>
      </c>
      <c r="Z15" s="249">
        <f>'Calcs - Volume Scenarios'!$Z41*'Calcs - Price Scenarios'!$D34</f>
        <v>378.36465484679763</v>
      </c>
      <c r="AA15" s="98">
        <f>'Calcs - Volume Scenarios'!$Z41*'Calcs - Price Scenarios'!$E34</f>
        <v>0</v>
      </c>
      <c r="AB15" s="99">
        <f>'Calcs - Volume Scenarios'!$Z41*'Calcs - Price Scenarios'!$F34</f>
        <v>1177.2482775258129</v>
      </c>
      <c r="AE15" s="337"/>
      <c r="AF15" s="43">
        <v>2032</v>
      </c>
      <c r="AG15" s="249">
        <f>'Calcs - Volume Scenarios'!$AG41*'Calcs - Price Scenarios'!$D34</f>
        <v>516.2668666519512</v>
      </c>
      <c r="AH15" s="98">
        <f>'Calcs - Volume Scenarios'!$AG41*'Calcs - Price Scenarios'!$E34</f>
        <v>0</v>
      </c>
      <c r="AI15" s="99">
        <f>'Calcs - Volume Scenarios'!$AG41*'Calcs - Price Scenarios'!$F34</f>
        <v>1606.3188559611888</v>
      </c>
    </row>
    <row r="16" spans="1:35" x14ac:dyDescent="0.25">
      <c r="A16" s="316"/>
      <c r="C16" s="337"/>
      <c r="D16" s="43">
        <v>2033</v>
      </c>
      <c r="E16" s="249">
        <f>'Calcs - Volume Scenarios'!$E42*'Calcs - Price Scenarios'!$D35</f>
        <v>0</v>
      </c>
      <c r="F16" s="98">
        <f>'Calcs - Volume Scenarios'!$E42*'Calcs - Price Scenarios'!$E35</f>
        <v>0</v>
      </c>
      <c r="G16" s="99">
        <f>'Calcs - Volume Scenarios'!$E42*'Calcs - Price Scenarios'!$F35</f>
        <v>0</v>
      </c>
      <c r="J16" s="337"/>
      <c r="K16" s="43">
        <v>2033</v>
      </c>
      <c r="L16" s="249">
        <f>'Calcs - Volume Scenarios'!$L42*'Calcs - Price Scenarios'!$D35</f>
        <v>117.81076890947195</v>
      </c>
      <c r="M16" s="98">
        <f>'Calcs - Volume Scenarios'!$L42*'Calcs - Price Scenarios'!$E35</f>
        <v>0</v>
      </c>
      <c r="N16" s="99">
        <f>'Calcs - Volume Scenarios'!$L42*'Calcs - Price Scenarios'!$F35</f>
        <v>340.77678081989592</v>
      </c>
      <c r="Q16" s="337"/>
      <c r="R16" s="43">
        <v>2033</v>
      </c>
      <c r="S16" s="249">
        <f>'Calcs - Volume Scenarios'!$S42*'Calcs - Price Scenarios'!$D35</f>
        <v>276.21881276050453</v>
      </c>
      <c r="T16" s="98">
        <f>'Calcs - Volume Scenarios'!$S42*'Calcs - Price Scenarios'!$E35</f>
        <v>0</v>
      </c>
      <c r="U16" s="99">
        <f>'Calcs - Volume Scenarios'!$S42*'Calcs - Price Scenarios'!$F35</f>
        <v>798.98432618455126</v>
      </c>
      <c r="X16" s="337"/>
      <c r="Y16" s="43">
        <v>2033</v>
      </c>
      <c r="Z16" s="249">
        <f>'Calcs - Volume Scenarios'!$Z42*'Calcs - Price Scenarios'!$D35</f>
        <v>434.62685661153739</v>
      </c>
      <c r="AA16" s="98">
        <f>'Calcs - Volume Scenarios'!$Z42*'Calcs - Price Scenarios'!$E35</f>
        <v>0</v>
      </c>
      <c r="AB16" s="99">
        <f>'Calcs - Volume Scenarios'!$Z42*'Calcs - Price Scenarios'!$F35</f>
        <v>1257.1918715492075</v>
      </c>
      <c r="AE16" s="337"/>
      <c r="AF16" s="43">
        <v>2033</v>
      </c>
      <c r="AG16" s="249">
        <f>'Calcs - Volume Scenarios'!$AG42*'Calcs - Price Scenarios'!$D35</f>
        <v>593.03490046257002</v>
      </c>
      <c r="AH16" s="98">
        <f>'Calcs - Volume Scenarios'!$AG42*'Calcs - Price Scenarios'!$E35</f>
        <v>0</v>
      </c>
      <c r="AI16" s="99">
        <f>'Calcs - Volume Scenarios'!$AG42*'Calcs - Price Scenarios'!$F35</f>
        <v>1715.3994169138628</v>
      </c>
    </row>
    <row r="17" spans="1:35" x14ac:dyDescent="0.25">
      <c r="A17" s="316"/>
      <c r="C17" s="337"/>
      <c r="D17" s="43">
        <v>2034</v>
      </c>
      <c r="E17" s="249">
        <f>'Calcs - Volume Scenarios'!$E43*'Calcs - Price Scenarios'!$D36</f>
        <v>0</v>
      </c>
      <c r="F17" s="98">
        <f>'Calcs - Volume Scenarios'!$E43*'Calcs - Price Scenarios'!$E36</f>
        <v>0</v>
      </c>
      <c r="G17" s="99">
        <f>'Calcs - Volume Scenarios'!$E43*'Calcs - Price Scenarios'!$F36</f>
        <v>0</v>
      </c>
      <c r="J17" s="337"/>
      <c r="K17" s="43">
        <v>2034</v>
      </c>
      <c r="L17" s="249">
        <f>'Calcs - Volume Scenarios'!$L43*'Calcs - Price Scenarios'!$D36</f>
        <v>135.32903644724627</v>
      </c>
      <c r="M17" s="98">
        <f>'Calcs - Volume Scenarios'!$L43*'Calcs - Price Scenarios'!$E36</f>
        <v>0</v>
      </c>
      <c r="N17" s="99">
        <f>'Calcs - Volume Scenarios'!$L43*'Calcs - Price Scenarios'!$F36</f>
        <v>363.91796619136301</v>
      </c>
      <c r="Q17" s="337"/>
      <c r="R17" s="43">
        <v>2034</v>
      </c>
      <c r="S17" s="249">
        <f>'Calcs - Volume Scenarios'!$S43*'Calcs - Price Scenarios'!$D36</f>
        <v>317.29209583722559</v>
      </c>
      <c r="T17" s="98">
        <f>'Calcs - Volume Scenarios'!$S43*'Calcs - Price Scenarios'!$E36</f>
        <v>0</v>
      </c>
      <c r="U17" s="99">
        <f>'Calcs - Volume Scenarios'!$S43*'Calcs - Price Scenarios'!$F36</f>
        <v>853.2410873308022</v>
      </c>
      <c r="X17" s="337"/>
      <c r="Y17" s="43">
        <v>2034</v>
      </c>
      <c r="Z17" s="249">
        <f>'Calcs - Volume Scenarios'!$Z43*'Calcs - Price Scenarios'!$D36</f>
        <v>499.25515522720525</v>
      </c>
      <c r="AA17" s="98">
        <f>'Calcs - Volume Scenarios'!$Z43*'Calcs - Price Scenarios'!$E36</f>
        <v>0</v>
      </c>
      <c r="AB17" s="99">
        <f>'Calcs - Volume Scenarios'!$Z43*'Calcs - Price Scenarios'!$F36</f>
        <v>1342.5642084702424</v>
      </c>
      <c r="AE17" s="337"/>
      <c r="AF17" s="43">
        <v>2034</v>
      </c>
      <c r="AG17" s="249">
        <f>'Calcs - Volume Scenarios'!$AG43*'Calcs - Price Scenarios'!$D36</f>
        <v>681.21821461718457</v>
      </c>
      <c r="AH17" s="98">
        <f>'Calcs - Volume Scenarios'!$AG43*'Calcs - Price Scenarios'!$E36</f>
        <v>0</v>
      </c>
      <c r="AI17" s="99">
        <f>'Calcs - Volume Scenarios'!$AG43*'Calcs - Price Scenarios'!$F36</f>
        <v>1831.8873296096815</v>
      </c>
    </row>
    <row r="18" spans="1:35" x14ac:dyDescent="0.25">
      <c r="A18" s="316"/>
      <c r="C18" s="337"/>
      <c r="D18" s="43">
        <v>2035</v>
      </c>
      <c r="E18" s="250">
        <f>'Calcs - Volume Scenarios'!$E44*'Calcs - Price Scenarios'!$D37</f>
        <v>0</v>
      </c>
      <c r="F18" s="100">
        <f>'Calcs - Volume Scenarios'!$E44*'Calcs - Price Scenarios'!$E37</f>
        <v>0</v>
      </c>
      <c r="G18" s="101">
        <f>'Calcs - Volume Scenarios'!$E44*'Calcs - Price Scenarios'!$F37</f>
        <v>0</v>
      </c>
      <c r="J18" s="337"/>
      <c r="K18" s="43">
        <v>2035</v>
      </c>
      <c r="L18" s="250">
        <f>'Calcs - Volume Scenarios'!$L44*'Calcs - Price Scenarios'!$D37</f>
        <v>155.45224155028561</v>
      </c>
      <c r="M18" s="100">
        <f>'Calcs - Volume Scenarios'!$L44*'Calcs - Price Scenarios'!$E37</f>
        <v>0</v>
      </c>
      <c r="N18" s="101">
        <f>'Calcs - Volume Scenarios'!$L44*'Calcs - Price Scenarios'!$F37</f>
        <v>388.63060387571409</v>
      </c>
      <c r="Q18" s="337"/>
      <c r="R18" s="43">
        <v>2035</v>
      </c>
      <c r="S18" s="250">
        <f>'Calcs - Volume Scenarios'!$S44*'Calcs - Price Scenarios'!$D37</f>
        <v>364.47290854178266</v>
      </c>
      <c r="T18" s="100">
        <f>'Calcs - Volume Scenarios'!$S44*'Calcs - Price Scenarios'!$E37</f>
        <v>0</v>
      </c>
      <c r="U18" s="101">
        <f>'Calcs - Volume Scenarios'!$S44*'Calcs - Price Scenarios'!$F37</f>
        <v>911.18227135445682</v>
      </c>
      <c r="X18" s="337"/>
      <c r="Y18" s="43">
        <v>2035</v>
      </c>
      <c r="Z18" s="250">
        <f>'Calcs - Volume Scenarios'!$Z44*'Calcs - Price Scenarios'!$D37</f>
        <v>573.49357553328014</v>
      </c>
      <c r="AA18" s="100">
        <f>'Calcs - Volume Scenarios'!$Z44*'Calcs - Price Scenarios'!$E37</f>
        <v>0</v>
      </c>
      <c r="AB18" s="101">
        <f>'Calcs - Volume Scenarios'!$Z44*'Calcs - Price Scenarios'!$F37</f>
        <v>1433.7339388332007</v>
      </c>
      <c r="AE18" s="337"/>
      <c r="AF18" s="43">
        <v>2035</v>
      </c>
      <c r="AG18" s="250">
        <f>'Calcs - Volume Scenarios'!$AG44*'Calcs - Price Scenarios'!$D37</f>
        <v>782.51424252477716</v>
      </c>
      <c r="AH18" s="100">
        <f>'Calcs - Volume Scenarios'!$AG44*'Calcs - Price Scenarios'!$E37</f>
        <v>0</v>
      </c>
      <c r="AI18" s="101">
        <f>'Calcs - Volume Scenarios'!$AG44*'Calcs - Price Scenarios'!$F37</f>
        <v>1956.2856063119434</v>
      </c>
    </row>
    <row r="19" spans="1:35" x14ac:dyDescent="0.25">
      <c r="A19" s="316"/>
      <c r="C19" s="338"/>
      <c r="D19" s="18" t="s">
        <v>193</v>
      </c>
      <c r="E19" s="108">
        <f>SUM(E7:E18)</f>
        <v>0</v>
      </c>
      <c r="F19" s="108" t="e">
        <f>SUM(F7:F18)</f>
        <v>#VALUE!</v>
      </c>
      <c r="G19" s="109">
        <f>SUM(G7:G18)</f>
        <v>0</v>
      </c>
      <c r="J19" s="338"/>
      <c r="K19" s="18" t="s">
        <v>193</v>
      </c>
      <c r="L19" s="108">
        <f>SUM(L7:L18)</f>
        <v>600.43614521820155</v>
      </c>
      <c r="M19" s="108" t="e">
        <f>SUM(M7:M18)</f>
        <v>#VALUE!</v>
      </c>
      <c r="N19" s="109">
        <f>SUM(N7:N18)</f>
        <v>1711.2478843989936</v>
      </c>
      <c r="Q19" s="338"/>
      <c r="R19" s="18" t="s">
        <v>193</v>
      </c>
      <c r="S19" s="108">
        <f>SUM(S7:S18)</f>
        <v>1407.7809754226219</v>
      </c>
      <c r="T19" s="108" t="e">
        <f>SUM(T7:T18)</f>
        <v>#VALUE!</v>
      </c>
      <c r="U19" s="109">
        <f>SUM(U7:U18)</f>
        <v>4012.1871993792911</v>
      </c>
      <c r="X19" s="338"/>
      <c r="Y19" s="18" t="s">
        <v>193</v>
      </c>
      <c r="Z19" s="108">
        <f>SUM(Z7:Z18)</f>
        <v>2215.1258056270435</v>
      </c>
      <c r="AA19" s="108" t="e">
        <f>SUM(AA7:AA18)</f>
        <v>#VALUE!</v>
      </c>
      <c r="AB19" s="109">
        <f>SUM(AB7:AB18)</f>
        <v>6313.1265143595938</v>
      </c>
      <c r="AE19" s="338"/>
      <c r="AF19" s="18" t="s">
        <v>193</v>
      </c>
      <c r="AG19" s="108">
        <f>SUM(AG7:AG18)</f>
        <v>3022.4706358314643</v>
      </c>
      <c r="AH19" s="108" t="e">
        <f>SUM(AH7:AH18)</f>
        <v>#VALUE!</v>
      </c>
      <c r="AI19" s="109">
        <f>SUM(AI7:AI18)</f>
        <v>8614.0658293398919</v>
      </c>
    </row>
    <row r="20" spans="1:35" x14ac:dyDescent="0.25">
      <c r="A20" s="316"/>
      <c r="K20" s="15"/>
      <c r="L20" s="15"/>
      <c r="M20" s="15"/>
      <c r="N20" s="15"/>
      <c r="R20" s="15"/>
      <c r="S20" s="15"/>
      <c r="T20" s="15"/>
      <c r="U20" s="15"/>
      <c r="Y20" s="15"/>
      <c r="Z20" s="15"/>
      <c r="AA20" s="15"/>
      <c r="AB20" s="15"/>
      <c r="AF20" s="15"/>
      <c r="AG20" s="15"/>
      <c r="AH20" s="15"/>
      <c r="AI20" s="15"/>
    </row>
    <row r="21" spans="1:35" ht="30" customHeight="1" x14ac:dyDescent="0.25">
      <c r="A21" s="316"/>
      <c r="C21" s="331" t="s">
        <v>146</v>
      </c>
      <c r="D21" s="132" t="s">
        <v>60</v>
      </c>
      <c r="E21" s="183" t="str">
        <f>Inputs!$C$52</f>
        <v>IEA - Emerging and developed economies</v>
      </c>
      <c r="F21" s="183" t="s">
        <v>192</v>
      </c>
      <c r="G21" s="247" t="str">
        <f>Inputs!$C$50</f>
        <v>IEA - Selected EMDE with net zero targets scenario</v>
      </c>
      <c r="J21" s="331" t="s">
        <v>146</v>
      </c>
      <c r="K21" s="132" t="s">
        <v>60</v>
      </c>
      <c r="L21" s="183" t="str">
        <f>Inputs!$C$52</f>
        <v>IEA - Emerging and developed economies</v>
      </c>
      <c r="M21" s="183" t="s">
        <v>192</v>
      </c>
      <c r="N21" s="247" t="str">
        <f>Inputs!$C$50</f>
        <v>IEA - Selected EMDE with net zero targets scenario</v>
      </c>
      <c r="Q21" s="331" t="s">
        <v>146</v>
      </c>
      <c r="R21" s="132" t="s">
        <v>60</v>
      </c>
      <c r="S21" s="183" t="str">
        <f>Inputs!$C$52</f>
        <v>IEA - Emerging and developed economies</v>
      </c>
      <c r="T21" s="183" t="s">
        <v>192</v>
      </c>
      <c r="U21" s="247" t="str">
        <f>Inputs!$C$50</f>
        <v>IEA - Selected EMDE with net zero targets scenario</v>
      </c>
      <c r="X21" s="331" t="s">
        <v>146</v>
      </c>
      <c r="Y21" s="132" t="s">
        <v>60</v>
      </c>
      <c r="Z21" s="183" t="str">
        <f>Inputs!$C$52</f>
        <v>IEA - Emerging and developed economies</v>
      </c>
      <c r="AA21" s="183" t="s">
        <v>192</v>
      </c>
      <c r="AB21" s="247" t="str">
        <f>Inputs!$C$50</f>
        <v>IEA - Selected EMDE with net zero targets scenario</v>
      </c>
      <c r="AE21" s="331" t="s">
        <v>146</v>
      </c>
      <c r="AF21" s="132" t="s">
        <v>60</v>
      </c>
      <c r="AG21" s="183" t="str">
        <f>Inputs!$C$52</f>
        <v>IEA - Emerging and developed economies</v>
      </c>
      <c r="AH21" s="183" t="s">
        <v>192</v>
      </c>
      <c r="AI21" s="247" t="str">
        <f>Inputs!$C$50</f>
        <v>IEA - Selected EMDE with net zero targets scenario</v>
      </c>
    </row>
    <row r="22" spans="1:35" x14ac:dyDescent="0.25">
      <c r="A22" s="316"/>
      <c r="C22" s="332"/>
      <c r="D22" s="42">
        <v>2024</v>
      </c>
      <c r="E22" s="248">
        <f>'Calcs - Volume Scenarios'!$F33*'Calcs - Price Scenarios'!$D26</f>
        <v>0</v>
      </c>
      <c r="F22" s="96" t="e">
        <f>'Calcs - Volume Scenarios'!$F33*'Calcs - Price Scenarios'!$E26</f>
        <v>#VALUE!</v>
      </c>
      <c r="G22" s="97">
        <f>'Calcs - Volume Scenarios'!$F33*'Calcs - Price Scenarios'!$F26</f>
        <v>0</v>
      </c>
      <c r="J22" s="332"/>
      <c r="K22" s="42">
        <v>2024</v>
      </c>
      <c r="L22" s="248">
        <f>'Calcs - Volume Scenarios'!$M33*'Calcs - Price Scenarios'!$D26</f>
        <v>0</v>
      </c>
      <c r="M22" s="96" t="e">
        <f>'Calcs - Volume Scenarios'!$M33*'Calcs - Price Scenarios'!$E26</f>
        <v>#VALUE!</v>
      </c>
      <c r="N22" s="97">
        <f>'Calcs - Volume Scenarios'!$M33*'Calcs - Price Scenarios'!$F26</f>
        <v>0</v>
      </c>
      <c r="Q22" s="332"/>
      <c r="R22" s="42">
        <v>2024</v>
      </c>
      <c r="S22" s="248">
        <f>'Calcs - Volume Scenarios'!$T33*'Calcs - Price Scenarios'!$D26</f>
        <v>0</v>
      </c>
      <c r="T22" s="96" t="e">
        <f>'Calcs - Volume Scenarios'!$T33*'Calcs - Price Scenarios'!$E26</f>
        <v>#VALUE!</v>
      </c>
      <c r="U22" s="97">
        <f>'Calcs - Volume Scenarios'!$T33*'Calcs - Price Scenarios'!$F26</f>
        <v>0</v>
      </c>
      <c r="X22" s="332"/>
      <c r="Y22" s="42">
        <v>2024</v>
      </c>
      <c r="Z22" s="248">
        <f>'Calcs - Volume Scenarios'!$AA33*'Calcs - Price Scenarios'!$D26</f>
        <v>0</v>
      </c>
      <c r="AA22" s="96" t="e">
        <f>'Calcs - Volume Scenarios'!$AA33*'Calcs - Price Scenarios'!$E26</f>
        <v>#VALUE!</v>
      </c>
      <c r="AB22" s="97">
        <f>'Calcs - Volume Scenarios'!$AA33*'Calcs - Price Scenarios'!$F26</f>
        <v>0</v>
      </c>
      <c r="AE22" s="332"/>
      <c r="AF22" s="42">
        <v>2024</v>
      </c>
      <c r="AG22" s="248">
        <f>'Calcs - Volume Scenarios'!$AH33*'Calcs - Price Scenarios'!$D26</f>
        <v>0</v>
      </c>
      <c r="AH22" s="96" t="e">
        <f>'Calcs - Volume Scenarios'!$AH33*'Calcs - Price Scenarios'!$E26</f>
        <v>#VALUE!</v>
      </c>
      <c r="AI22" s="97">
        <f>'Calcs - Volume Scenarios'!$AH33*'Calcs - Price Scenarios'!$F26</f>
        <v>0</v>
      </c>
    </row>
    <row r="23" spans="1:35" x14ac:dyDescent="0.25">
      <c r="A23" s="316"/>
      <c r="C23" s="332"/>
      <c r="D23" s="43">
        <v>2025</v>
      </c>
      <c r="E23" s="249">
        <f>'Calcs - Volume Scenarios'!$F34*'Calcs - Price Scenarios'!$D27</f>
        <v>0</v>
      </c>
      <c r="F23" s="98">
        <f>'Calcs - Volume Scenarios'!$F34*'Calcs - Price Scenarios'!$E27</f>
        <v>0</v>
      </c>
      <c r="G23" s="99">
        <f>'Calcs - Volume Scenarios'!$F34*'Calcs - Price Scenarios'!$F27</f>
        <v>0</v>
      </c>
      <c r="J23" s="332"/>
      <c r="K23" s="43">
        <v>2025</v>
      </c>
      <c r="L23" s="249">
        <f>'Calcs - Volume Scenarios'!$M34*'Calcs - Price Scenarios'!$D27</f>
        <v>0</v>
      </c>
      <c r="M23" s="98">
        <f>'Calcs - Volume Scenarios'!$M34*'Calcs - Price Scenarios'!$E27</f>
        <v>0</v>
      </c>
      <c r="N23" s="99">
        <f>'Calcs - Volume Scenarios'!$M34*'Calcs - Price Scenarios'!$F27</f>
        <v>0</v>
      </c>
      <c r="Q23" s="332"/>
      <c r="R23" s="43">
        <v>2025</v>
      </c>
      <c r="S23" s="249">
        <f>'Calcs - Volume Scenarios'!$T34*'Calcs - Price Scenarios'!$D27</f>
        <v>0</v>
      </c>
      <c r="T23" s="98">
        <f>'Calcs - Volume Scenarios'!$T34*'Calcs - Price Scenarios'!$E27</f>
        <v>0</v>
      </c>
      <c r="U23" s="99">
        <f>'Calcs - Volume Scenarios'!$T34*'Calcs - Price Scenarios'!$F27</f>
        <v>0</v>
      </c>
      <c r="X23" s="332"/>
      <c r="Y23" s="43">
        <v>2025</v>
      </c>
      <c r="Z23" s="249">
        <f>'Calcs - Volume Scenarios'!$AA34*'Calcs - Price Scenarios'!$D27</f>
        <v>0</v>
      </c>
      <c r="AA23" s="98">
        <f>'Calcs - Volume Scenarios'!$AA34*'Calcs - Price Scenarios'!$E27</f>
        <v>0</v>
      </c>
      <c r="AB23" s="99">
        <f>'Calcs - Volume Scenarios'!$AA34*'Calcs - Price Scenarios'!$F27</f>
        <v>0</v>
      </c>
      <c r="AE23" s="332"/>
      <c r="AF23" s="43">
        <v>2025</v>
      </c>
      <c r="AG23" s="249">
        <f>'Calcs - Volume Scenarios'!$AH34*'Calcs - Price Scenarios'!$D27</f>
        <v>0</v>
      </c>
      <c r="AH23" s="98">
        <f>'Calcs - Volume Scenarios'!$AH34*'Calcs - Price Scenarios'!$E27</f>
        <v>0</v>
      </c>
      <c r="AI23" s="99">
        <f>'Calcs - Volume Scenarios'!$AH34*'Calcs - Price Scenarios'!$F27</f>
        <v>0</v>
      </c>
    </row>
    <row r="24" spans="1:35" x14ac:dyDescent="0.25">
      <c r="A24" s="316"/>
      <c r="C24" s="332"/>
      <c r="D24" s="43">
        <v>2026</v>
      </c>
      <c r="E24" s="249">
        <f>'Calcs - Volume Scenarios'!$F35*'Calcs - Price Scenarios'!$D28</f>
        <v>0</v>
      </c>
      <c r="F24" s="98">
        <f>'Calcs - Volume Scenarios'!$F35*'Calcs - Price Scenarios'!$E28</f>
        <v>0</v>
      </c>
      <c r="G24" s="99">
        <f>'Calcs - Volume Scenarios'!$F35*'Calcs - Price Scenarios'!$F28</f>
        <v>0</v>
      </c>
      <c r="J24" s="332"/>
      <c r="K24" s="43">
        <v>2026</v>
      </c>
      <c r="L24" s="249">
        <f>'Calcs - Volume Scenarios'!$M35*'Calcs - Price Scenarios'!$D28</f>
        <v>0</v>
      </c>
      <c r="M24" s="98">
        <f>'Calcs - Volume Scenarios'!$M35*'Calcs - Price Scenarios'!$E28</f>
        <v>0</v>
      </c>
      <c r="N24" s="99">
        <f>'Calcs - Volume Scenarios'!$M35*'Calcs - Price Scenarios'!$F28</f>
        <v>0</v>
      </c>
      <c r="Q24" s="332"/>
      <c r="R24" s="43">
        <v>2026</v>
      </c>
      <c r="S24" s="249">
        <f>'Calcs - Volume Scenarios'!$T35*'Calcs - Price Scenarios'!$D28</f>
        <v>0</v>
      </c>
      <c r="T24" s="98">
        <f>'Calcs - Volume Scenarios'!$T35*'Calcs - Price Scenarios'!$E28</f>
        <v>0</v>
      </c>
      <c r="U24" s="99">
        <f>'Calcs - Volume Scenarios'!$T35*'Calcs - Price Scenarios'!$F28</f>
        <v>0</v>
      </c>
      <c r="X24" s="332"/>
      <c r="Y24" s="43">
        <v>2026</v>
      </c>
      <c r="Z24" s="249">
        <f>'Calcs - Volume Scenarios'!$AA35*'Calcs - Price Scenarios'!$D28</f>
        <v>0</v>
      </c>
      <c r="AA24" s="98">
        <f>'Calcs - Volume Scenarios'!$AA35*'Calcs - Price Scenarios'!$E28</f>
        <v>0</v>
      </c>
      <c r="AB24" s="99">
        <f>'Calcs - Volume Scenarios'!$AA35*'Calcs - Price Scenarios'!$F28</f>
        <v>0</v>
      </c>
      <c r="AE24" s="332"/>
      <c r="AF24" s="43">
        <v>2026</v>
      </c>
      <c r="AG24" s="249">
        <f>'Calcs - Volume Scenarios'!$AH35*'Calcs - Price Scenarios'!$D28</f>
        <v>0</v>
      </c>
      <c r="AH24" s="98">
        <f>'Calcs - Volume Scenarios'!$AH35*'Calcs - Price Scenarios'!$E28</f>
        <v>0</v>
      </c>
      <c r="AI24" s="99">
        <f>'Calcs - Volume Scenarios'!$AH35*'Calcs - Price Scenarios'!$F28</f>
        <v>0</v>
      </c>
    </row>
    <row r="25" spans="1:35" x14ac:dyDescent="0.25">
      <c r="A25" s="316"/>
      <c r="C25" s="332"/>
      <c r="D25" s="43">
        <v>2027</v>
      </c>
      <c r="E25" s="249">
        <f>'Calcs - Volume Scenarios'!$F36*'Calcs - Price Scenarios'!$D29</f>
        <v>0</v>
      </c>
      <c r="F25" s="98">
        <f>'Calcs - Volume Scenarios'!$F36*'Calcs - Price Scenarios'!$E29</f>
        <v>0</v>
      </c>
      <c r="G25" s="99">
        <f>'Calcs - Volume Scenarios'!$F36*'Calcs - Price Scenarios'!$F29</f>
        <v>0</v>
      </c>
      <c r="J25" s="332"/>
      <c r="K25" s="43">
        <v>2027</v>
      </c>
      <c r="L25" s="249">
        <f>'Calcs - Volume Scenarios'!$M36*'Calcs - Price Scenarios'!$D29</f>
        <v>0</v>
      </c>
      <c r="M25" s="98">
        <f>'Calcs - Volume Scenarios'!$M36*'Calcs - Price Scenarios'!$E29</f>
        <v>0</v>
      </c>
      <c r="N25" s="99">
        <f>'Calcs - Volume Scenarios'!$M36*'Calcs - Price Scenarios'!$F29</f>
        <v>0</v>
      </c>
      <c r="Q25" s="332"/>
      <c r="R25" s="43">
        <v>2027</v>
      </c>
      <c r="S25" s="249">
        <f>'Calcs - Volume Scenarios'!$T36*'Calcs - Price Scenarios'!$D29</f>
        <v>0</v>
      </c>
      <c r="T25" s="98">
        <f>'Calcs - Volume Scenarios'!$T36*'Calcs - Price Scenarios'!$E29</f>
        <v>0</v>
      </c>
      <c r="U25" s="99">
        <f>'Calcs - Volume Scenarios'!$T36*'Calcs - Price Scenarios'!$F29</f>
        <v>0</v>
      </c>
      <c r="X25" s="332"/>
      <c r="Y25" s="43">
        <v>2027</v>
      </c>
      <c r="Z25" s="249">
        <f>'Calcs - Volume Scenarios'!$AA36*'Calcs - Price Scenarios'!$D29</f>
        <v>0</v>
      </c>
      <c r="AA25" s="98">
        <f>'Calcs - Volume Scenarios'!$AA36*'Calcs - Price Scenarios'!$E29</f>
        <v>0</v>
      </c>
      <c r="AB25" s="99">
        <f>'Calcs - Volume Scenarios'!$AA36*'Calcs - Price Scenarios'!$F29</f>
        <v>0</v>
      </c>
      <c r="AE25" s="332"/>
      <c r="AF25" s="43">
        <v>2027</v>
      </c>
      <c r="AG25" s="249">
        <f>'Calcs - Volume Scenarios'!$AH36*'Calcs - Price Scenarios'!$D29</f>
        <v>0</v>
      </c>
      <c r="AH25" s="98">
        <f>'Calcs - Volume Scenarios'!$AH36*'Calcs - Price Scenarios'!$E29</f>
        <v>0</v>
      </c>
      <c r="AI25" s="99">
        <f>'Calcs - Volume Scenarios'!$AH36*'Calcs - Price Scenarios'!$F29</f>
        <v>0</v>
      </c>
    </row>
    <row r="26" spans="1:35" x14ac:dyDescent="0.25">
      <c r="A26" s="316"/>
      <c r="C26" s="332"/>
      <c r="D26" s="43">
        <v>2028</v>
      </c>
      <c r="E26" s="249">
        <f>'Calcs - Volume Scenarios'!$F37*'Calcs - Price Scenarios'!$D30</f>
        <v>0</v>
      </c>
      <c r="F26" s="98">
        <f>'Calcs - Volume Scenarios'!$F37*'Calcs - Price Scenarios'!$E30</f>
        <v>0</v>
      </c>
      <c r="G26" s="99">
        <f>'Calcs - Volume Scenarios'!$F37*'Calcs - Price Scenarios'!$F30</f>
        <v>0</v>
      </c>
      <c r="J26" s="332"/>
      <c r="K26" s="43">
        <v>2028</v>
      </c>
      <c r="L26" s="249">
        <f>'Calcs - Volume Scenarios'!$M37*'Calcs - Price Scenarios'!$D30</f>
        <v>0</v>
      </c>
      <c r="M26" s="98">
        <f>'Calcs - Volume Scenarios'!$M37*'Calcs - Price Scenarios'!$E30</f>
        <v>0</v>
      </c>
      <c r="N26" s="99">
        <f>'Calcs - Volume Scenarios'!$M37*'Calcs - Price Scenarios'!$F30</f>
        <v>0</v>
      </c>
      <c r="Q26" s="332"/>
      <c r="R26" s="43">
        <v>2028</v>
      </c>
      <c r="S26" s="249">
        <f>'Calcs - Volume Scenarios'!$T37*'Calcs - Price Scenarios'!$D30</f>
        <v>0</v>
      </c>
      <c r="T26" s="98">
        <f>'Calcs - Volume Scenarios'!$T37*'Calcs - Price Scenarios'!$E30</f>
        <v>0</v>
      </c>
      <c r="U26" s="99">
        <f>'Calcs - Volume Scenarios'!$T37*'Calcs - Price Scenarios'!$F30</f>
        <v>0</v>
      </c>
      <c r="X26" s="332"/>
      <c r="Y26" s="43">
        <v>2028</v>
      </c>
      <c r="Z26" s="249">
        <f>'Calcs - Volume Scenarios'!$AA37*'Calcs - Price Scenarios'!$D30</f>
        <v>0</v>
      </c>
      <c r="AA26" s="98">
        <f>'Calcs - Volume Scenarios'!$AA37*'Calcs - Price Scenarios'!$E30</f>
        <v>0</v>
      </c>
      <c r="AB26" s="99">
        <f>'Calcs - Volume Scenarios'!$AA37*'Calcs - Price Scenarios'!$F30</f>
        <v>0</v>
      </c>
      <c r="AE26" s="332"/>
      <c r="AF26" s="43">
        <v>2028</v>
      </c>
      <c r="AG26" s="249">
        <f>'Calcs - Volume Scenarios'!$AH37*'Calcs - Price Scenarios'!$D30</f>
        <v>0</v>
      </c>
      <c r="AH26" s="98">
        <f>'Calcs - Volume Scenarios'!$AH37*'Calcs - Price Scenarios'!$E30</f>
        <v>0</v>
      </c>
      <c r="AI26" s="99">
        <f>'Calcs - Volume Scenarios'!$AH37*'Calcs - Price Scenarios'!$F30</f>
        <v>0</v>
      </c>
    </row>
    <row r="27" spans="1:35" x14ac:dyDescent="0.25">
      <c r="A27" s="316"/>
      <c r="C27" s="332"/>
      <c r="D27" s="43">
        <v>2029</v>
      </c>
      <c r="E27" s="249">
        <f>'Calcs - Volume Scenarios'!$F38*'Calcs - Price Scenarios'!$D31</f>
        <v>0</v>
      </c>
      <c r="F27" s="98">
        <f>'Calcs - Volume Scenarios'!$F38*'Calcs - Price Scenarios'!$E31</f>
        <v>0</v>
      </c>
      <c r="G27" s="99">
        <f>'Calcs - Volume Scenarios'!$F38*'Calcs - Price Scenarios'!$F31</f>
        <v>0</v>
      </c>
      <c r="J27" s="332"/>
      <c r="K27" s="43">
        <v>2029</v>
      </c>
      <c r="L27" s="249">
        <f>'Calcs - Volume Scenarios'!$M38*'Calcs - Price Scenarios'!$D31</f>
        <v>0</v>
      </c>
      <c r="M27" s="98">
        <f>'Calcs - Volume Scenarios'!$M38*'Calcs - Price Scenarios'!$E31</f>
        <v>0</v>
      </c>
      <c r="N27" s="99">
        <f>'Calcs - Volume Scenarios'!$M38*'Calcs - Price Scenarios'!$F31</f>
        <v>0</v>
      </c>
      <c r="Q27" s="332"/>
      <c r="R27" s="43">
        <v>2029</v>
      </c>
      <c r="S27" s="249">
        <f>'Calcs - Volume Scenarios'!$T38*'Calcs - Price Scenarios'!$D31</f>
        <v>0</v>
      </c>
      <c r="T27" s="98">
        <f>'Calcs - Volume Scenarios'!$T38*'Calcs - Price Scenarios'!$E31</f>
        <v>0</v>
      </c>
      <c r="U27" s="99">
        <f>'Calcs - Volume Scenarios'!$T38*'Calcs - Price Scenarios'!$F31</f>
        <v>0</v>
      </c>
      <c r="X27" s="332"/>
      <c r="Y27" s="43">
        <v>2029</v>
      </c>
      <c r="Z27" s="249">
        <f>'Calcs - Volume Scenarios'!$AA38*'Calcs - Price Scenarios'!$D31</f>
        <v>0</v>
      </c>
      <c r="AA27" s="98">
        <f>'Calcs - Volume Scenarios'!$AA38*'Calcs - Price Scenarios'!$E31</f>
        <v>0</v>
      </c>
      <c r="AB27" s="99">
        <f>'Calcs - Volume Scenarios'!$AA38*'Calcs - Price Scenarios'!$F31</f>
        <v>0</v>
      </c>
      <c r="AE27" s="332"/>
      <c r="AF27" s="43">
        <v>2029</v>
      </c>
      <c r="AG27" s="249">
        <f>'Calcs - Volume Scenarios'!$AH38*'Calcs - Price Scenarios'!$D31</f>
        <v>0</v>
      </c>
      <c r="AH27" s="98">
        <f>'Calcs - Volume Scenarios'!$AH38*'Calcs - Price Scenarios'!$E31</f>
        <v>0</v>
      </c>
      <c r="AI27" s="99">
        <f>'Calcs - Volume Scenarios'!$AH38*'Calcs - Price Scenarios'!$F31</f>
        <v>0</v>
      </c>
    </row>
    <row r="28" spans="1:35" x14ac:dyDescent="0.25">
      <c r="A28" s="316"/>
      <c r="C28" s="332"/>
      <c r="D28" s="43">
        <v>2030</v>
      </c>
      <c r="E28" s="249">
        <f>'Calcs - Volume Scenarios'!$F39*'Calcs - Price Scenarios'!$D32</f>
        <v>0</v>
      </c>
      <c r="F28" s="98">
        <f>'Calcs - Volume Scenarios'!$F39*'Calcs - Price Scenarios'!$E32</f>
        <v>0</v>
      </c>
      <c r="G28" s="99">
        <f>'Calcs - Volume Scenarios'!$F39*'Calcs - Price Scenarios'!$F32</f>
        <v>0</v>
      </c>
      <c r="J28" s="332"/>
      <c r="K28" s="43">
        <v>2030</v>
      </c>
      <c r="L28" s="249">
        <f>'Calcs - Volume Scenarios'!$M39*'Calcs - Price Scenarios'!$D32</f>
        <v>0</v>
      </c>
      <c r="M28" s="98">
        <f>'Calcs - Volume Scenarios'!$M39*'Calcs - Price Scenarios'!$E32</f>
        <v>0</v>
      </c>
      <c r="N28" s="99">
        <f>'Calcs - Volume Scenarios'!$M39*'Calcs - Price Scenarios'!$F32</f>
        <v>0</v>
      </c>
      <c r="Q28" s="332"/>
      <c r="R28" s="43">
        <v>2030</v>
      </c>
      <c r="S28" s="249">
        <f>'Calcs - Volume Scenarios'!$T39*'Calcs - Price Scenarios'!$D32</f>
        <v>0</v>
      </c>
      <c r="T28" s="98">
        <f>'Calcs - Volume Scenarios'!$T39*'Calcs - Price Scenarios'!$E32</f>
        <v>0</v>
      </c>
      <c r="U28" s="99">
        <f>'Calcs - Volume Scenarios'!$T39*'Calcs - Price Scenarios'!$F32</f>
        <v>0</v>
      </c>
      <c r="X28" s="332"/>
      <c r="Y28" s="43">
        <v>2030</v>
      </c>
      <c r="Z28" s="249">
        <f>'Calcs - Volume Scenarios'!$AA39*'Calcs - Price Scenarios'!$D32</f>
        <v>0</v>
      </c>
      <c r="AA28" s="98">
        <f>'Calcs - Volume Scenarios'!$AA39*'Calcs - Price Scenarios'!$E32</f>
        <v>0</v>
      </c>
      <c r="AB28" s="99">
        <f>'Calcs - Volume Scenarios'!$AA39*'Calcs - Price Scenarios'!$F32</f>
        <v>0</v>
      </c>
      <c r="AE28" s="332"/>
      <c r="AF28" s="43">
        <v>2030</v>
      </c>
      <c r="AG28" s="249">
        <f>'Calcs - Volume Scenarios'!$AH39*'Calcs - Price Scenarios'!$D32</f>
        <v>0</v>
      </c>
      <c r="AH28" s="98">
        <f>'Calcs - Volume Scenarios'!$AH39*'Calcs - Price Scenarios'!$E32</f>
        <v>0</v>
      </c>
      <c r="AI28" s="99">
        <f>'Calcs - Volume Scenarios'!$AH39*'Calcs - Price Scenarios'!$F32</f>
        <v>0</v>
      </c>
    </row>
    <row r="29" spans="1:35" x14ac:dyDescent="0.25">
      <c r="A29" s="316"/>
      <c r="C29" s="332"/>
      <c r="D29" s="43">
        <v>2031</v>
      </c>
      <c r="E29" s="249">
        <f>'Calcs - Volume Scenarios'!$F40*'Calcs - Price Scenarios'!$D33</f>
        <v>0</v>
      </c>
      <c r="F29" s="98">
        <f>'Calcs - Volume Scenarios'!$F40*'Calcs - Price Scenarios'!$E33</f>
        <v>0</v>
      </c>
      <c r="G29" s="99">
        <f>'Calcs - Volume Scenarios'!$F40*'Calcs - Price Scenarios'!$F33</f>
        <v>0</v>
      </c>
      <c r="J29" s="332"/>
      <c r="K29" s="43">
        <v>2031</v>
      </c>
      <c r="L29" s="249">
        <f>'Calcs - Volume Scenarios'!$M40*'Calcs - Price Scenarios'!$D33</f>
        <v>89.283867074707388</v>
      </c>
      <c r="M29" s="98">
        <f>'Calcs - Volume Scenarios'!$M40*'Calcs - Price Scenarios'!$E33</f>
        <v>0</v>
      </c>
      <c r="N29" s="99">
        <f>'Calcs - Volume Scenarios'!$M40*'Calcs - Price Scenarios'!$F33</f>
        <v>298.81541285696056</v>
      </c>
      <c r="Q29" s="332"/>
      <c r="R29" s="43">
        <v>2031</v>
      </c>
      <c r="S29" s="249">
        <f>'Calcs - Volume Scenarios'!$T40*'Calcs - Price Scenarios'!$D33</f>
        <v>209.3347152414652</v>
      </c>
      <c r="T29" s="98">
        <f>'Calcs - Volume Scenarios'!$T40*'Calcs - Price Scenarios'!$E33</f>
        <v>0</v>
      </c>
      <c r="U29" s="99">
        <f>'Calcs - Volume Scenarios'!$T40*'Calcs - Price Scenarios'!$F33</f>
        <v>700.60181541904512</v>
      </c>
      <c r="X29" s="332"/>
      <c r="Y29" s="43">
        <v>2031</v>
      </c>
      <c r="Z29" s="249">
        <f>'Calcs - Volume Scenarios'!$AA40*'Calcs - Price Scenarios'!$D33</f>
        <v>329.38556340822328</v>
      </c>
      <c r="AA29" s="98">
        <f>'Calcs - Volume Scenarios'!$AA40*'Calcs - Price Scenarios'!$E33</f>
        <v>0</v>
      </c>
      <c r="AB29" s="99">
        <f>'Calcs - Volume Scenarios'!$AA40*'Calcs - Price Scenarios'!$F33</f>
        <v>1102.3882179811305</v>
      </c>
      <c r="AE29" s="332"/>
      <c r="AF29" s="43">
        <v>2031</v>
      </c>
      <c r="AG29" s="249">
        <f>'Calcs - Volume Scenarios'!$AH40*'Calcs - Price Scenarios'!$D33</f>
        <v>449.43641157498109</v>
      </c>
      <c r="AH29" s="98">
        <f>'Calcs - Volume Scenarios'!$AH40*'Calcs - Price Scenarios'!$E33</f>
        <v>0</v>
      </c>
      <c r="AI29" s="99">
        <f>'Calcs - Volume Scenarios'!$AH40*'Calcs - Price Scenarios'!$F33</f>
        <v>1504.174620543215</v>
      </c>
    </row>
    <row r="30" spans="1:35" x14ac:dyDescent="0.25">
      <c r="A30" s="316"/>
      <c r="C30" s="332"/>
      <c r="D30" s="43">
        <v>2032</v>
      </c>
      <c r="E30" s="249">
        <f>'Calcs - Volume Scenarios'!$F41*'Calcs - Price Scenarios'!$D34</f>
        <v>0</v>
      </c>
      <c r="F30" s="98">
        <f>'Calcs - Volume Scenarios'!$F41*'Calcs - Price Scenarios'!$E34</f>
        <v>0</v>
      </c>
      <c r="G30" s="99">
        <f>'Calcs - Volume Scenarios'!$F41*'Calcs - Price Scenarios'!$F34</f>
        <v>0</v>
      </c>
      <c r="J30" s="332"/>
      <c r="K30" s="43">
        <v>2032</v>
      </c>
      <c r="L30" s="249">
        <f>'Calcs - Volume Scenarios'!$M41*'Calcs - Price Scenarios'!$D34</f>
        <v>102.56023123649031</v>
      </c>
      <c r="M30" s="98">
        <f>'Calcs - Volume Scenarios'!$M41*'Calcs - Price Scenarios'!$E34</f>
        <v>0</v>
      </c>
      <c r="N30" s="99">
        <f>'Calcs - Volume Scenarios'!$M41*'Calcs - Price Scenarios'!$F34</f>
        <v>319.10712065506021</v>
      </c>
      <c r="Q30" s="332"/>
      <c r="R30" s="43">
        <v>2032</v>
      </c>
      <c r="S30" s="249">
        <f>'Calcs - Volume Scenarios'!$T41*'Calcs - Price Scenarios'!$D34</f>
        <v>240.46244304164384</v>
      </c>
      <c r="T30" s="98">
        <f>'Calcs - Volume Scenarios'!$T41*'Calcs - Price Scenarios'!$E34</f>
        <v>0</v>
      </c>
      <c r="U30" s="99">
        <f>'Calcs - Volume Scenarios'!$T41*'Calcs - Price Scenarios'!$F34</f>
        <v>748.17769909043602</v>
      </c>
      <c r="X30" s="332"/>
      <c r="Y30" s="43">
        <v>2032</v>
      </c>
      <c r="Z30" s="249">
        <f>'Calcs - Volume Scenarios'!$AA41*'Calcs - Price Scenarios'!$D34</f>
        <v>378.36465484679763</v>
      </c>
      <c r="AA30" s="98">
        <f>'Calcs - Volume Scenarios'!$AA41*'Calcs - Price Scenarios'!$E34</f>
        <v>0</v>
      </c>
      <c r="AB30" s="99">
        <f>'Calcs - Volume Scenarios'!$AA41*'Calcs - Price Scenarios'!$F34</f>
        <v>1177.2482775258129</v>
      </c>
      <c r="AE30" s="332"/>
      <c r="AF30" s="43">
        <v>2032</v>
      </c>
      <c r="AG30" s="249">
        <f>'Calcs - Volume Scenarios'!$AH41*'Calcs - Price Scenarios'!$D34</f>
        <v>516.2668666519512</v>
      </c>
      <c r="AH30" s="98">
        <f>'Calcs - Volume Scenarios'!$AH41*'Calcs - Price Scenarios'!$E34</f>
        <v>0</v>
      </c>
      <c r="AI30" s="99">
        <f>'Calcs - Volume Scenarios'!$AH41*'Calcs - Price Scenarios'!$F34</f>
        <v>1606.3188559611888</v>
      </c>
    </row>
    <row r="31" spans="1:35" x14ac:dyDescent="0.25">
      <c r="A31" s="316"/>
      <c r="C31" s="332"/>
      <c r="D31" s="43">
        <v>2033</v>
      </c>
      <c r="E31" s="249">
        <f>'Calcs - Volume Scenarios'!$F42*'Calcs - Price Scenarios'!$D35</f>
        <v>0</v>
      </c>
      <c r="F31" s="98">
        <f>'Calcs - Volume Scenarios'!$F42*'Calcs - Price Scenarios'!$E35</f>
        <v>0</v>
      </c>
      <c r="G31" s="99">
        <f>'Calcs - Volume Scenarios'!$F42*'Calcs - Price Scenarios'!$F35</f>
        <v>0</v>
      </c>
      <c r="J31" s="332"/>
      <c r="K31" s="43">
        <v>2033</v>
      </c>
      <c r="L31" s="249">
        <f>'Calcs - Volume Scenarios'!$M42*'Calcs - Price Scenarios'!$D35</f>
        <v>117.81076890947195</v>
      </c>
      <c r="M31" s="98">
        <f>'Calcs - Volume Scenarios'!$M42*'Calcs - Price Scenarios'!$E35</f>
        <v>0</v>
      </c>
      <c r="N31" s="99">
        <f>'Calcs - Volume Scenarios'!$M42*'Calcs - Price Scenarios'!$F35</f>
        <v>340.77678081989592</v>
      </c>
      <c r="Q31" s="332"/>
      <c r="R31" s="43">
        <v>2033</v>
      </c>
      <c r="S31" s="249">
        <f>'Calcs - Volume Scenarios'!$T42*'Calcs - Price Scenarios'!$D35</f>
        <v>276.21881276050453</v>
      </c>
      <c r="T31" s="98">
        <f>'Calcs - Volume Scenarios'!$T42*'Calcs - Price Scenarios'!$E35</f>
        <v>0</v>
      </c>
      <c r="U31" s="99">
        <f>'Calcs - Volume Scenarios'!$T42*'Calcs - Price Scenarios'!$F35</f>
        <v>798.98432618455126</v>
      </c>
      <c r="X31" s="332"/>
      <c r="Y31" s="43">
        <v>2033</v>
      </c>
      <c r="Z31" s="249">
        <f>'Calcs - Volume Scenarios'!$AA42*'Calcs - Price Scenarios'!$D35</f>
        <v>434.62685661153739</v>
      </c>
      <c r="AA31" s="98">
        <f>'Calcs - Volume Scenarios'!$AA42*'Calcs - Price Scenarios'!$E35</f>
        <v>0</v>
      </c>
      <c r="AB31" s="99">
        <f>'Calcs - Volume Scenarios'!$AA42*'Calcs - Price Scenarios'!$F35</f>
        <v>1257.1918715492075</v>
      </c>
      <c r="AE31" s="332"/>
      <c r="AF31" s="43">
        <v>2033</v>
      </c>
      <c r="AG31" s="249">
        <f>'Calcs - Volume Scenarios'!$AH42*'Calcs - Price Scenarios'!$D35</f>
        <v>593.03490046257002</v>
      </c>
      <c r="AH31" s="98">
        <f>'Calcs - Volume Scenarios'!$AH42*'Calcs - Price Scenarios'!$E35</f>
        <v>0</v>
      </c>
      <c r="AI31" s="99">
        <f>'Calcs - Volume Scenarios'!$AH42*'Calcs - Price Scenarios'!$F35</f>
        <v>1715.3994169138628</v>
      </c>
    </row>
    <row r="32" spans="1:35" x14ac:dyDescent="0.25">
      <c r="A32" s="316"/>
      <c r="C32" s="332"/>
      <c r="D32" s="43">
        <v>2034</v>
      </c>
      <c r="E32" s="249">
        <f>'Calcs - Volume Scenarios'!$F43*'Calcs - Price Scenarios'!$D36</f>
        <v>0</v>
      </c>
      <c r="F32" s="98">
        <f>'Calcs - Volume Scenarios'!$F43*'Calcs - Price Scenarios'!$E36</f>
        <v>0</v>
      </c>
      <c r="G32" s="99">
        <f>'Calcs - Volume Scenarios'!$F43*'Calcs - Price Scenarios'!$F36</f>
        <v>0</v>
      </c>
      <c r="J32" s="332"/>
      <c r="K32" s="43">
        <v>2034</v>
      </c>
      <c r="L32" s="249">
        <f>'Calcs - Volume Scenarios'!$M43*'Calcs - Price Scenarios'!$D36</f>
        <v>135.32903644724627</v>
      </c>
      <c r="M32" s="98">
        <f>'Calcs - Volume Scenarios'!$M43*'Calcs - Price Scenarios'!$E36</f>
        <v>0</v>
      </c>
      <c r="N32" s="99">
        <f>'Calcs - Volume Scenarios'!$M43*'Calcs - Price Scenarios'!$F36</f>
        <v>363.91796619136301</v>
      </c>
      <c r="Q32" s="332"/>
      <c r="R32" s="43">
        <v>2034</v>
      </c>
      <c r="S32" s="249">
        <f>'Calcs - Volume Scenarios'!$T43*'Calcs - Price Scenarios'!$D36</f>
        <v>317.29209583722559</v>
      </c>
      <c r="T32" s="98">
        <f>'Calcs - Volume Scenarios'!$T43*'Calcs - Price Scenarios'!$E36</f>
        <v>0</v>
      </c>
      <c r="U32" s="99">
        <f>'Calcs - Volume Scenarios'!$T43*'Calcs - Price Scenarios'!$F36</f>
        <v>853.2410873308022</v>
      </c>
      <c r="X32" s="332"/>
      <c r="Y32" s="43">
        <v>2034</v>
      </c>
      <c r="Z32" s="249">
        <f>'Calcs - Volume Scenarios'!$AA43*'Calcs - Price Scenarios'!$D36</f>
        <v>499.25515522720525</v>
      </c>
      <c r="AA32" s="98">
        <f>'Calcs - Volume Scenarios'!$AA43*'Calcs - Price Scenarios'!$E36</f>
        <v>0</v>
      </c>
      <c r="AB32" s="99">
        <f>'Calcs - Volume Scenarios'!$AA43*'Calcs - Price Scenarios'!$F36</f>
        <v>1342.5642084702424</v>
      </c>
      <c r="AE32" s="332"/>
      <c r="AF32" s="43">
        <v>2034</v>
      </c>
      <c r="AG32" s="249">
        <f>'Calcs - Volume Scenarios'!$AH43*'Calcs - Price Scenarios'!$D36</f>
        <v>681.21821461718457</v>
      </c>
      <c r="AH32" s="98">
        <f>'Calcs - Volume Scenarios'!$AH43*'Calcs - Price Scenarios'!$E36</f>
        <v>0</v>
      </c>
      <c r="AI32" s="99">
        <f>'Calcs - Volume Scenarios'!$AH43*'Calcs - Price Scenarios'!$F36</f>
        <v>1831.8873296096815</v>
      </c>
    </row>
    <row r="33" spans="1:35" x14ac:dyDescent="0.25">
      <c r="A33" s="316"/>
      <c r="C33" s="332"/>
      <c r="D33" s="43">
        <v>2035</v>
      </c>
      <c r="E33" s="250">
        <f>'Calcs - Volume Scenarios'!$F44*'Calcs - Price Scenarios'!$D37</f>
        <v>0</v>
      </c>
      <c r="F33" s="100">
        <f>'Calcs - Volume Scenarios'!$F44*'Calcs - Price Scenarios'!$E37</f>
        <v>0</v>
      </c>
      <c r="G33" s="101">
        <f>'Calcs - Volume Scenarios'!$F44*'Calcs - Price Scenarios'!$F37</f>
        <v>0</v>
      </c>
      <c r="J33" s="332"/>
      <c r="K33" s="43">
        <v>2035</v>
      </c>
      <c r="L33" s="250">
        <f>'Calcs - Volume Scenarios'!$M44*'Calcs - Price Scenarios'!$D37</f>
        <v>155.45224155028561</v>
      </c>
      <c r="M33" s="100">
        <f>'Calcs - Volume Scenarios'!$M44*'Calcs - Price Scenarios'!$E37</f>
        <v>0</v>
      </c>
      <c r="N33" s="101">
        <f>'Calcs - Volume Scenarios'!$M44*'Calcs - Price Scenarios'!$F37</f>
        <v>388.63060387571409</v>
      </c>
      <c r="Q33" s="332"/>
      <c r="R33" s="43">
        <v>2035</v>
      </c>
      <c r="S33" s="250">
        <f>'Calcs - Volume Scenarios'!$T44*'Calcs - Price Scenarios'!$D37</f>
        <v>364.47290854178266</v>
      </c>
      <c r="T33" s="100">
        <f>'Calcs - Volume Scenarios'!$T44*'Calcs - Price Scenarios'!$E37</f>
        <v>0</v>
      </c>
      <c r="U33" s="101">
        <f>'Calcs - Volume Scenarios'!$T44*'Calcs - Price Scenarios'!$F37</f>
        <v>911.18227135445682</v>
      </c>
      <c r="X33" s="332"/>
      <c r="Y33" s="43">
        <v>2035</v>
      </c>
      <c r="Z33" s="250">
        <f>'Calcs - Volume Scenarios'!$AA44*'Calcs - Price Scenarios'!$D37</f>
        <v>573.49357553328014</v>
      </c>
      <c r="AA33" s="100">
        <f>'Calcs - Volume Scenarios'!$AA44*'Calcs - Price Scenarios'!$E37</f>
        <v>0</v>
      </c>
      <c r="AB33" s="101">
        <f>'Calcs - Volume Scenarios'!$AA44*'Calcs - Price Scenarios'!$F37</f>
        <v>1433.7339388332007</v>
      </c>
      <c r="AE33" s="332"/>
      <c r="AF33" s="43">
        <v>2035</v>
      </c>
      <c r="AG33" s="250">
        <f>'Calcs - Volume Scenarios'!$AH44*'Calcs - Price Scenarios'!$D37</f>
        <v>782.51424252477716</v>
      </c>
      <c r="AH33" s="100">
        <f>'Calcs - Volume Scenarios'!$AH44*'Calcs - Price Scenarios'!$E37</f>
        <v>0</v>
      </c>
      <c r="AI33" s="101">
        <f>'Calcs - Volume Scenarios'!$AH44*'Calcs - Price Scenarios'!$F37</f>
        <v>1956.2856063119434</v>
      </c>
    </row>
    <row r="34" spans="1:35" x14ac:dyDescent="0.25">
      <c r="A34" s="316"/>
      <c r="C34" s="339"/>
      <c r="D34" s="18" t="s">
        <v>193</v>
      </c>
      <c r="E34" s="108">
        <f>SUM(E22:E33)</f>
        <v>0</v>
      </c>
      <c r="F34" s="108" t="e">
        <f t="shared" ref="F34" si="0">SUM(F22:F33)</f>
        <v>#VALUE!</v>
      </c>
      <c r="G34" s="109">
        <f t="shared" ref="G34" si="1">SUM(G22:G33)</f>
        <v>0</v>
      </c>
      <c r="J34" s="339"/>
      <c r="K34" s="18" t="s">
        <v>193</v>
      </c>
      <c r="L34" s="108">
        <f>SUM(L22:L33)</f>
        <v>600.43614521820155</v>
      </c>
      <c r="M34" s="108" t="e">
        <f t="shared" ref="M34:N34" si="2">SUM(M22:M33)</f>
        <v>#VALUE!</v>
      </c>
      <c r="N34" s="109">
        <f t="shared" si="2"/>
        <v>1711.2478843989936</v>
      </c>
      <c r="Q34" s="339"/>
      <c r="R34" s="18" t="s">
        <v>193</v>
      </c>
      <c r="S34" s="108">
        <f>SUM(S22:S33)</f>
        <v>1407.7809754226219</v>
      </c>
      <c r="T34" s="108" t="e">
        <f t="shared" ref="T34:U34" si="3">SUM(T22:T33)</f>
        <v>#VALUE!</v>
      </c>
      <c r="U34" s="109">
        <f t="shared" si="3"/>
        <v>4012.1871993792911</v>
      </c>
      <c r="X34" s="339"/>
      <c r="Y34" s="18" t="s">
        <v>193</v>
      </c>
      <c r="Z34" s="108">
        <f>SUM(Z22:Z33)</f>
        <v>2215.1258056270435</v>
      </c>
      <c r="AA34" s="108" t="e">
        <f t="shared" ref="AA34:AB34" si="4">SUM(AA22:AA33)</f>
        <v>#VALUE!</v>
      </c>
      <c r="AB34" s="109">
        <f t="shared" si="4"/>
        <v>6313.1265143595938</v>
      </c>
      <c r="AE34" s="339"/>
      <c r="AF34" s="18" t="s">
        <v>193</v>
      </c>
      <c r="AG34" s="108">
        <f>SUM(AG22:AG33)</f>
        <v>3022.4706358314643</v>
      </c>
      <c r="AH34" s="108" t="e">
        <f t="shared" ref="AH34:AI34" si="5">SUM(AH22:AH33)</f>
        <v>#VALUE!</v>
      </c>
      <c r="AI34" s="109">
        <f t="shared" si="5"/>
        <v>8614.0658293398919</v>
      </c>
    </row>
    <row r="35" spans="1:35" x14ac:dyDescent="0.25">
      <c r="A35" s="316"/>
      <c r="K35" s="15"/>
      <c r="L35" s="15"/>
      <c r="M35" s="15"/>
      <c r="N35" s="15"/>
      <c r="R35" s="15"/>
      <c r="S35" s="15"/>
      <c r="T35" s="15"/>
      <c r="U35" s="15"/>
      <c r="Y35" s="15"/>
      <c r="Z35" s="15"/>
      <c r="AA35" s="15"/>
      <c r="AB35" s="15"/>
      <c r="AF35" s="15"/>
      <c r="AG35" s="15"/>
      <c r="AH35" s="15"/>
      <c r="AI35" s="15"/>
    </row>
    <row r="36" spans="1:35" ht="30" customHeight="1" x14ac:dyDescent="0.25">
      <c r="A36" s="316"/>
      <c r="C36" s="340" t="s">
        <v>63</v>
      </c>
      <c r="D36" s="132" t="s">
        <v>60</v>
      </c>
      <c r="E36" s="183" t="str">
        <f>Inputs!$C$52</f>
        <v>IEA - Emerging and developed economies</v>
      </c>
      <c r="F36" s="183" t="s">
        <v>192</v>
      </c>
      <c r="G36" s="247" t="str">
        <f>Inputs!$C$50</f>
        <v>IEA - Selected EMDE with net zero targets scenario</v>
      </c>
      <c r="J36" s="340" t="s">
        <v>63</v>
      </c>
      <c r="K36" s="132" t="s">
        <v>60</v>
      </c>
      <c r="L36" s="183" t="str">
        <f>Inputs!$C$52</f>
        <v>IEA - Emerging and developed economies</v>
      </c>
      <c r="M36" s="183" t="s">
        <v>192</v>
      </c>
      <c r="N36" s="247" t="str">
        <f>Inputs!$C$50</f>
        <v>IEA - Selected EMDE with net zero targets scenario</v>
      </c>
      <c r="Q36" s="340" t="s">
        <v>63</v>
      </c>
      <c r="R36" s="132" t="s">
        <v>60</v>
      </c>
      <c r="S36" s="183" t="str">
        <f>Inputs!$C$52</f>
        <v>IEA - Emerging and developed economies</v>
      </c>
      <c r="T36" s="183" t="s">
        <v>192</v>
      </c>
      <c r="U36" s="247" t="str">
        <f>Inputs!$C$50</f>
        <v>IEA - Selected EMDE with net zero targets scenario</v>
      </c>
      <c r="X36" s="340" t="s">
        <v>63</v>
      </c>
      <c r="Y36" s="132" t="s">
        <v>60</v>
      </c>
      <c r="Z36" s="183" t="str">
        <f>Inputs!$C$52</f>
        <v>IEA - Emerging and developed economies</v>
      </c>
      <c r="AA36" s="183" t="s">
        <v>192</v>
      </c>
      <c r="AB36" s="247" t="str">
        <f>Inputs!$C$50</f>
        <v>IEA - Selected EMDE with net zero targets scenario</v>
      </c>
      <c r="AE36" s="340" t="s">
        <v>63</v>
      </c>
      <c r="AF36" s="132" t="s">
        <v>60</v>
      </c>
      <c r="AG36" s="183" t="str">
        <f>Inputs!$C$52</f>
        <v>IEA - Emerging and developed economies</v>
      </c>
      <c r="AH36" s="183" t="s">
        <v>192</v>
      </c>
      <c r="AI36" s="247" t="str">
        <f>Inputs!$C$50</f>
        <v>IEA - Selected EMDE with net zero targets scenario</v>
      </c>
    </row>
    <row r="37" spans="1:35" x14ac:dyDescent="0.25">
      <c r="A37" s="316"/>
      <c r="C37" s="341"/>
      <c r="D37" s="42">
        <v>2024</v>
      </c>
      <c r="E37" s="248">
        <f>'Calcs - Volume Scenarios'!$G33*'Calcs - Price Scenarios'!$D26</f>
        <v>0</v>
      </c>
      <c r="F37" s="96" t="e">
        <f>'Calcs - Volume Scenarios'!$G33*'Calcs - Price Scenarios'!$E26</f>
        <v>#VALUE!</v>
      </c>
      <c r="G37" s="97">
        <f>'Calcs - Volume Scenarios'!$G33*'Calcs - Price Scenarios'!$F26</f>
        <v>0</v>
      </c>
      <c r="J37" s="341"/>
      <c r="K37" s="42">
        <v>2024</v>
      </c>
      <c r="L37" s="248">
        <f>'Calcs - Volume Scenarios'!$N33*'Calcs - Price Scenarios'!$D26</f>
        <v>0</v>
      </c>
      <c r="M37" s="96" t="e">
        <f>'Calcs - Volume Scenarios'!$N33*'Calcs - Price Scenarios'!$E26</f>
        <v>#VALUE!</v>
      </c>
      <c r="N37" s="97">
        <f>'Calcs - Volume Scenarios'!$N33*'Calcs - Price Scenarios'!$F26</f>
        <v>0</v>
      </c>
      <c r="Q37" s="341"/>
      <c r="R37" s="42">
        <v>2024</v>
      </c>
      <c r="S37" s="248">
        <f>'Calcs - Volume Scenarios'!$U33*'Calcs - Price Scenarios'!$D26</f>
        <v>0</v>
      </c>
      <c r="T37" s="96" t="e">
        <f>'Calcs - Volume Scenarios'!$U33*'Calcs - Price Scenarios'!$E26</f>
        <v>#VALUE!</v>
      </c>
      <c r="U37" s="97">
        <f>'Calcs - Volume Scenarios'!$U33*'Calcs - Price Scenarios'!$F26</f>
        <v>0</v>
      </c>
      <c r="X37" s="341"/>
      <c r="Y37" s="42">
        <v>2024</v>
      </c>
      <c r="Z37" s="248">
        <f>'Calcs - Volume Scenarios'!$AB33*'Calcs - Price Scenarios'!$D26</f>
        <v>0</v>
      </c>
      <c r="AA37" s="96" t="e">
        <f>'Calcs - Volume Scenarios'!$AB33*'Calcs - Price Scenarios'!$E26</f>
        <v>#VALUE!</v>
      </c>
      <c r="AB37" s="97">
        <f>'Calcs - Volume Scenarios'!$AB33*'Calcs - Price Scenarios'!$F26</f>
        <v>0</v>
      </c>
      <c r="AE37" s="341"/>
      <c r="AF37" s="42">
        <v>2024</v>
      </c>
      <c r="AG37" s="248">
        <f>'Calcs - Volume Scenarios'!$AI33*'Calcs - Price Scenarios'!$D26</f>
        <v>0</v>
      </c>
      <c r="AH37" s="96" t="e">
        <f>'Calcs - Volume Scenarios'!$AI33*'Calcs - Price Scenarios'!$E26</f>
        <v>#VALUE!</v>
      </c>
      <c r="AI37" s="97">
        <f>'Calcs - Volume Scenarios'!$AI33*'Calcs - Price Scenarios'!$F26</f>
        <v>0</v>
      </c>
    </row>
    <row r="38" spans="1:35" x14ac:dyDescent="0.25">
      <c r="A38" s="316"/>
      <c r="C38" s="341"/>
      <c r="D38" s="43">
        <v>2025</v>
      </c>
      <c r="E38" s="249">
        <f>'Calcs - Volume Scenarios'!$G34*'Calcs - Price Scenarios'!$D27</f>
        <v>0</v>
      </c>
      <c r="F38" s="98">
        <f>'Calcs - Volume Scenarios'!$G34*'Calcs - Price Scenarios'!$E27</f>
        <v>0</v>
      </c>
      <c r="G38" s="99">
        <f>'Calcs - Volume Scenarios'!$G34*'Calcs - Price Scenarios'!$F27</f>
        <v>0</v>
      </c>
      <c r="J38" s="341"/>
      <c r="K38" s="43">
        <v>2025</v>
      </c>
      <c r="L38" s="249">
        <f>'Calcs - Volume Scenarios'!$N34*'Calcs - Price Scenarios'!$D27</f>
        <v>0</v>
      </c>
      <c r="M38" s="98">
        <f>'Calcs - Volume Scenarios'!$N34*'Calcs - Price Scenarios'!$E27</f>
        <v>0</v>
      </c>
      <c r="N38" s="99">
        <f>'Calcs - Volume Scenarios'!$N34*'Calcs - Price Scenarios'!$F27</f>
        <v>0</v>
      </c>
      <c r="Q38" s="341"/>
      <c r="R38" s="43">
        <v>2025</v>
      </c>
      <c r="S38" s="249">
        <f>'Calcs - Volume Scenarios'!$U34*'Calcs - Price Scenarios'!$D27</f>
        <v>0</v>
      </c>
      <c r="T38" s="98">
        <f>'Calcs - Volume Scenarios'!$U34*'Calcs - Price Scenarios'!$E27</f>
        <v>0</v>
      </c>
      <c r="U38" s="99">
        <f>'Calcs - Volume Scenarios'!$U34*'Calcs - Price Scenarios'!$F27</f>
        <v>0</v>
      </c>
      <c r="X38" s="341"/>
      <c r="Y38" s="43">
        <v>2025</v>
      </c>
      <c r="Z38" s="249">
        <f>'Calcs - Volume Scenarios'!$AB34*'Calcs - Price Scenarios'!$D27</f>
        <v>0</v>
      </c>
      <c r="AA38" s="98">
        <f>'Calcs - Volume Scenarios'!$AB34*'Calcs - Price Scenarios'!$E27</f>
        <v>0</v>
      </c>
      <c r="AB38" s="99">
        <f>'Calcs - Volume Scenarios'!$AB34*'Calcs - Price Scenarios'!$F27</f>
        <v>0</v>
      </c>
      <c r="AE38" s="341"/>
      <c r="AF38" s="43">
        <v>2025</v>
      </c>
      <c r="AG38" s="249">
        <f>'Calcs - Volume Scenarios'!$AI34*'Calcs - Price Scenarios'!$D27</f>
        <v>0</v>
      </c>
      <c r="AH38" s="98">
        <f>'Calcs - Volume Scenarios'!$AI34*'Calcs - Price Scenarios'!$E27</f>
        <v>0</v>
      </c>
      <c r="AI38" s="99">
        <f>'Calcs - Volume Scenarios'!$AI34*'Calcs - Price Scenarios'!$F27</f>
        <v>0</v>
      </c>
    </row>
    <row r="39" spans="1:35" x14ac:dyDescent="0.25">
      <c r="A39" s="316"/>
      <c r="C39" s="341"/>
      <c r="D39" s="43">
        <v>2026</v>
      </c>
      <c r="E39" s="249">
        <f>'Calcs - Volume Scenarios'!$G35*'Calcs - Price Scenarios'!$D28</f>
        <v>0</v>
      </c>
      <c r="F39" s="98">
        <f>'Calcs - Volume Scenarios'!$G35*'Calcs - Price Scenarios'!$E28</f>
        <v>0</v>
      </c>
      <c r="G39" s="99">
        <f>'Calcs - Volume Scenarios'!$G35*'Calcs - Price Scenarios'!$F28</f>
        <v>0</v>
      </c>
      <c r="J39" s="341"/>
      <c r="K39" s="43">
        <v>2026</v>
      </c>
      <c r="L39" s="249">
        <f>'Calcs - Volume Scenarios'!$N35*'Calcs - Price Scenarios'!$D28</f>
        <v>0</v>
      </c>
      <c r="M39" s="98">
        <f>'Calcs - Volume Scenarios'!$N35*'Calcs - Price Scenarios'!$E28</f>
        <v>0</v>
      </c>
      <c r="N39" s="99">
        <f>'Calcs - Volume Scenarios'!$N35*'Calcs - Price Scenarios'!$F28</f>
        <v>0</v>
      </c>
      <c r="Q39" s="341"/>
      <c r="R39" s="43">
        <v>2026</v>
      </c>
      <c r="S39" s="249">
        <f>'Calcs - Volume Scenarios'!$U35*'Calcs - Price Scenarios'!$D28</f>
        <v>0</v>
      </c>
      <c r="T39" s="98">
        <f>'Calcs - Volume Scenarios'!$U35*'Calcs - Price Scenarios'!$E28</f>
        <v>0</v>
      </c>
      <c r="U39" s="99">
        <f>'Calcs - Volume Scenarios'!$U35*'Calcs - Price Scenarios'!$F28</f>
        <v>0</v>
      </c>
      <c r="X39" s="341"/>
      <c r="Y39" s="43">
        <v>2026</v>
      </c>
      <c r="Z39" s="249">
        <f>'Calcs - Volume Scenarios'!$AB35*'Calcs - Price Scenarios'!$D28</f>
        <v>0</v>
      </c>
      <c r="AA39" s="98">
        <f>'Calcs - Volume Scenarios'!$AB35*'Calcs - Price Scenarios'!$E28</f>
        <v>0</v>
      </c>
      <c r="AB39" s="99">
        <f>'Calcs - Volume Scenarios'!$AB35*'Calcs - Price Scenarios'!$F28</f>
        <v>0</v>
      </c>
      <c r="AE39" s="341"/>
      <c r="AF39" s="43">
        <v>2026</v>
      </c>
      <c r="AG39" s="249">
        <f>'Calcs - Volume Scenarios'!$AI35*'Calcs - Price Scenarios'!$D28</f>
        <v>0</v>
      </c>
      <c r="AH39" s="98">
        <f>'Calcs - Volume Scenarios'!$AI35*'Calcs - Price Scenarios'!$E28</f>
        <v>0</v>
      </c>
      <c r="AI39" s="99">
        <f>'Calcs - Volume Scenarios'!$AI35*'Calcs - Price Scenarios'!$F28</f>
        <v>0</v>
      </c>
    </row>
    <row r="40" spans="1:35" x14ac:dyDescent="0.25">
      <c r="A40" s="316"/>
      <c r="C40" s="341"/>
      <c r="D40" s="43">
        <v>2027</v>
      </c>
      <c r="E40" s="249">
        <f>'Calcs - Volume Scenarios'!$G36*'Calcs - Price Scenarios'!$D29</f>
        <v>0</v>
      </c>
      <c r="F40" s="98">
        <f>'Calcs - Volume Scenarios'!$G36*'Calcs - Price Scenarios'!$E29</f>
        <v>0</v>
      </c>
      <c r="G40" s="99">
        <f>'Calcs - Volume Scenarios'!$G36*'Calcs - Price Scenarios'!$F29</f>
        <v>0</v>
      </c>
      <c r="J40" s="341"/>
      <c r="K40" s="43">
        <v>2027</v>
      </c>
      <c r="L40" s="249">
        <f>'Calcs - Volume Scenarios'!$N36*'Calcs - Price Scenarios'!$D29</f>
        <v>0</v>
      </c>
      <c r="M40" s="98">
        <f>'Calcs - Volume Scenarios'!$N36*'Calcs - Price Scenarios'!$E29</f>
        <v>0</v>
      </c>
      <c r="N40" s="99">
        <f>'Calcs - Volume Scenarios'!$N36*'Calcs - Price Scenarios'!$F29</f>
        <v>0</v>
      </c>
      <c r="Q40" s="341"/>
      <c r="R40" s="43">
        <v>2027</v>
      </c>
      <c r="S40" s="249">
        <f>'Calcs - Volume Scenarios'!$U36*'Calcs - Price Scenarios'!$D29</f>
        <v>0</v>
      </c>
      <c r="T40" s="98">
        <f>'Calcs - Volume Scenarios'!$U36*'Calcs - Price Scenarios'!$E29</f>
        <v>0</v>
      </c>
      <c r="U40" s="99">
        <f>'Calcs - Volume Scenarios'!$U36*'Calcs - Price Scenarios'!$F29</f>
        <v>0</v>
      </c>
      <c r="X40" s="341"/>
      <c r="Y40" s="43">
        <v>2027</v>
      </c>
      <c r="Z40" s="249">
        <f>'Calcs - Volume Scenarios'!$AB36*'Calcs - Price Scenarios'!$D29</f>
        <v>0</v>
      </c>
      <c r="AA40" s="98">
        <f>'Calcs - Volume Scenarios'!$AB36*'Calcs - Price Scenarios'!$E29</f>
        <v>0</v>
      </c>
      <c r="AB40" s="99">
        <f>'Calcs - Volume Scenarios'!$AB36*'Calcs - Price Scenarios'!$F29</f>
        <v>0</v>
      </c>
      <c r="AE40" s="341"/>
      <c r="AF40" s="43">
        <v>2027</v>
      </c>
      <c r="AG40" s="249">
        <f>'Calcs - Volume Scenarios'!$AI36*'Calcs - Price Scenarios'!$D29</f>
        <v>0</v>
      </c>
      <c r="AH40" s="98">
        <f>'Calcs - Volume Scenarios'!$AI36*'Calcs - Price Scenarios'!$E29</f>
        <v>0</v>
      </c>
      <c r="AI40" s="99">
        <f>'Calcs - Volume Scenarios'!$AI36*'Calcs - Price Scenarios'!$F29</f>
        <v>0</v>
      </c>
    </row>
    <row r="41" spans="1:35" x14ac:dyDescent="0.25">
      <c r="A41" s="316"/>
      <c r="C41" s="341"/>
      <c r="D41" s="43">
        <v>2028</v>
      </c>
      <c r="E41" s="249">
        <f>'Calcs - Volume Scenarios'!$G37*'Calcs - Price Scenarios'!$D30</f>
        <v>0</v>
      </c>
      <c r="F41" s="98">
        <f>'Calcs - Volume Scenarios'!$G37*'Calcs - Price Scenarios'!$E30</f>
        <v>0</v>
      </c>
      <c r="G41" s="99">
        <f>'Calcs - Volume Scenarios'!$G37*'Calcs - Price Scenarios'!$F30</f>
        <v>0</v>
      </c>
      <c r="J41" s="341"/>
      <c r="K41" s="43">
        <v>2028</v>
      </c>
      <c r="L41" s="249">
        <f>'Calcs - Volume Scenarios'!$N37*'Calcs - Price Scenarios'!$D30</f>
        <v>0</v>
      </c>
      <c r="M41" s="98">
        <f>'Calcs - Volume Scenarios'!$N37*'Calcs - Price Scenarios'!$E30</f>
        <v>0</v>
      </c>
      <c r="N41" s="99">
        <f>'Calcs - Volume Scenarios'!$N37*'Calcs - Price Scenarios'!$F30</f>
        <v>0</v>
      </c>
      <c r="Q41" s="341"/>
      <c r="R41" s="43">
        <v>2028</v>
      </c>
      <c r="S41" s="249">
        <f>'Calcs - Volume Scenarios'!$U37*'Calcs - Price Scenarios'!$D30</f>
        <v>0</v>
      </c>
      <c r="T41" s="98">
        <f>'Calcs - Volume Scenarios'!$U37*'Calcs - Price Scenarios'!$E30</f>
        <v>0</v>
      </c>
      <c r="U41" s="99">
        <f>'Calcs - Volume Scenarios'!$U37*'Calcs - Price Scenarios'!$F30</f>
        <v>0</v>
      </c>
      <c r="X41" s="341"/>
      <c r="Y41" s="43">
        <v>2028</v>
      </c>
      <c r="Z41" s="249">
        <f>'Calcs - Volume Scenarios'!$AB37*'Calcs - Price Scenarios'!$D30</f>
        <v>0</v>
      </c>
      <c r="AA41" s="98">
        <f>'Calcs - Volume Scenarios'!$AB37*'Calcs - Price Scenarios'!$E30</f>
        <v>0</v>
      </c>
      <c r="AB41" s="99">
        <f>'Calcs - Volume Scenarios'!$AB37*'Calcs - Price Scenarios'!$F30</f>
        <v>0</v>
      </c>
      <c r="AE41" s="341"/>
      <c r="AF41" s="43">
        <v>2028</v>
      </c>
      <c r="AG41" s="249">
        <f>'Calcs - Volume Scenarios'!$AI37*'Calcs - Price Scenarios'!$D30</f>
        <v>0</v>
      </c>
      <c r="AH41" s="98">
        <f>'Calcs - Volume Scenarios'!$AI37*'Calcs - Price Scenarios'!$E30</f>
        <v>0</v>
      </c>
      <c r="AI41" s="99">
        <f>'Calcs - Volume Scenarios'!$AI37*'Calcs - Price Scenarios'!$F30</f>
        <v>0</v>
      </c>
    </row>
    <row r="42" spans="1:35" x14ac:dyDescent="0.25">
      <c r="A42" s="316"/>
      <c r="C42" s="341"/>
      <c r="D42" s="43">
        <v>2029</v>
      </c>
      <c r="E42" s="249">
        <f>'Calcs - Volume Scenarios'!$G38*'Calcs - Price Scenarios'!$D31</f>
        <v>0</v>
      </c>
      <c r="F42" s="98">
        <f>'Calcs - Volume Scenarios'!$G38*'Calcs - Price Scenarios'!$E31</f>
        <v>0</v>
      </c>
      <c r="G42" s="99">
        <f>'Calcs - Volume Scenarios'!$G38*'Calcs - Price Scenarios'!$F31</f>
        <v>0</v>
      </c>
      <c r="J42" s="341"/>
      <c r="K42" s="43">
        <v>2029</v>
      </c>
      <c r="L42" s="249">
        <f>'Calcs - Volume Scenarios'!$N38*'Calcs - Price Scenarios'!$D31</f>
        <v>0</v>
      </c>
      <c r="M42" s="98">
        <f>'Calcs - Volume Scenarios'!$N38*'Calcs - Price Scenarios'!$E31</f>
        <v>0</v>
      </c>
      <c r="N42" s="99">
        <f>'Calcs - Volume Scenarios'!$N38*'Calcs - Price Scenarios'!$F31</f>
        <v>0</v>
      </c>
      <c r="Q42" s="341"/>
      <c r="R42" s="43">
        <v>2029</v>
      </c>
      <c r="S42" s="249">
        <f>'Calcs - Volume Scenarios'!$U38*'Calcs - Price Scenarios'!$D31</f>
        <v>0</v>
      </c>
      <c r="T42" s="98">
        <f>'Calcs - Volume Scenarios'!$U38*'Calcs - Price Scenarios'!$E31</f>
        <v>0</v>
      </c>
      <c r="U42" s="99">
        <f>'Calcs - Volume Scenarios'!$U38*'Calcs - Price Scenarios'!$F31</f>
        <v>0</v>
      </c>
      <c r="X42" s="341"/>
      <c r="Y42" s="43">
        <v>2029</v>
      </c>
      <c r="Z42" s="249">
        <f>'Calcs - Volume Scenarios'!$AB38*'Calcs - Price Scenarios'!$D31</f>
        <v>0</v>
      </c>
      <c r="AA42" s="98">
        <f>'Calcs - Volume Scenarios'!$AB38*'Calcs - Price Scenarios'!$E31</f>
        <v>0</v>
      </c>
      <c r="AB42" s="99">
        <f>'Calcs - Volume Scenarios'!$AB38*'Calcs - Price Scenarios'!$F31</f>
        <v>0</v>
      </c>
      <c r="AE42" s="341"/>
      <c r="AF42" s="43">
        <v>2029</v>
      </c>
      <c r="AG42" s="249">
        <f>'Calcs - Volume Scenarios'!$AI38*'Calcs - Price Scenarios'!$D31</f>
        <v>0</v>
      </c>
      <c r="AH42" s="98">
        <f>'Calcs - Volume Scenarios'!$AI38*'Calcs - Price Scenarios'!$E31</f>
        <v>0</v>
      </c>
      <c r="AI42" s="99">
        <f>'Calcs - Volume Scenarios'!$AI38*'Calcs - Price Scenarios'!$F31</f>
        <v>0</v>
      </c>
    </row>
    <row r="43" spans="1:35" x14ac:dyDescent="0.25">
      <c r="A43" s="316"/>
      <c r="C43" s="341"/>
      <c r="D43" s="43">
        <v>2030</v>
      </c>
      <c r="E43" s="249">
        <f>'Calcs - Volume Scenarios'!$G39*'Calcs - Price Scenarios'!$D32</f>
        <v>0</v>
      </c>
      <c r="F43" s="98">
        <f>'Calcs - Volume Scenarios'!$G39*'Calcs - Price Scenarios'!$E32</f>
        <v>0</v>
      </c>
      <c r="G43" s="99">
        <f>'Calcs - Volume Scenarios'!$G39*'Calcs - Price Scenarios'!$F32</f>
        <v>0</v>
      </c>
      <c r="J43" s="341"/>
      <c r="K43" s="43">
        <v>2030</v>
      </c>
      <c r="L43" s="249">
        <f>'Calcs - Volume Scenarios'!$N39*'Calcs - Price Scenarios'!$D32</f>
        <v>0</v>
      </c>
      <c r="M43" s="98">
        <f>'Calcs - Volume Scenarios'!$N39*'Calcs - Price Scenarios'!$E32</f>
        <v>0</v>
      </c>
      <c r="N43" s="99">
        <f>'Calcs - Volume Scenarios'!$N39*'Calcs - Price Scenarios'!$F32</f>
        <v>0</v>
      </c>
      <c r="Q43" s="341"/>
      <c r="R43" s="43">
        <v>2030</v>
      </c>
      <c r="S43" s="249">
        <f>'Calcs - Volume Scenarios'!$U39*'Calcs - Price Scenarios'!$D32</f>
        <v>0</v>
      </c>
      <c r="T43" s="98">
        <f>'Calcs - Volume Scenarios'!$U39*'Calcs - Price Scenarios'!$E32</f>
        <v>0</v>
      </c>
      <c r="U43" s="99">
        <f>'Calcs - Volume Scenarios'!$U39*'Calcs - Price Scenarios'!$F32</f>
        <v>0</v>
      </c>
      <c r="X43" s="341"/>
      <c r="Y43" s="43">
        <v>2030</v>
      </c>
      <c r="Z43" s="249">
        <f>'Calcs - Volume Scenarios'!$AB39*'Calcs - Price Scenarios'!$D32</f>
        <v>0</v>
      </c>
      <c r="AA43" s="98">
        <f>'Calcs - Volume Scenarios'!$AB39*'Calcs - Price Scenarios'!$E32</f>
        <v>0</v>
      </c>
      <c r="AB43" s="99">
        <f>'Calcs - Volume Scenarios'!$AB39*'Calcs - Price Scenarios'!$F32</f>
        <v>0</v>
      </c>
      <c r="AE43" s="341"/>
      <c r="AF43" s="43">
        <v>2030</v>
      </c>
      <c r="AG43" s="249">
        <f>'Calcs - Volume Scenarios'!$AI39*'Calcs - Price Scenarios'!$D32</f>
        <v>0</v>
      </c>
      <c r="AH43" s="98">
        <f>'Calcs - Volume Scenarios'!$AI39*'Calcs - Price Scenarios'!$E32</f>
        <v>0</v>
      </c>
      <c r="AI43" s="99">
        <f>'Calcs - Volume Scenarios'!$AI39*'Calcs - Price Scenarios'!$F32</f>
        <v>0</v>
      </c>
    </row>
    <row r="44" spans="1:35" x14ac:dyDescent="0.25">
      <c r="A44" s="316"/>
      <c r="C44" s="341"/>
      <c r="D44" s="43">
        <v>2031</v>
      </c>
      <c r="E44" s="249">
        <f>'Calcs - Volume Scenarios'!$G40*'Calcs - Price Scenarios'!$D33</f>
        <v>0</v>
      </c>
      <c r="F44" s="98">
        <f>'Calcs - Volume Scenarios'!$G40*'Calcs - Price Scenarios'!$E33</f>
        <v>0</v>
      </c>
      <c r="G44" s="99">
        <f>'Calcs - Volume Scenarios'!$G40*'Calcs - Price Scenarios'!$F33</f>
        <v>0</v>
      </c>
      <c r="J44" s="341"/>
      <c r="K44" s="43">
        <v>2031</v>
      </c>
      <c r="L44" s="249">
        <f>'Calcs - Volume Scenarios'!$N40*'Calcs - Price Scenarios'!$D33</f>
        <v>89.283867074707388</v>
      </c>
      <c r="M44" s="98">
        <f>'Calcs - Volume Scenarios'!$N40*'Calcs - Price Scenarios'!$E33</f>
        <v>0</v>
      </c>
      <c r="N44" s="99">
        <f>'Calcs - Volume Scenarios'!$N40*'Calcs - Price Scenarios'!$F33</f>
        <v>298.81541285696056</v>
      </c>
      <c r="Q44" s="341"/>
      <c r="R44" s="43">
        <v>2031</v>
      </c>
      <c r="S44" s="249">
        <f>'Calcs - Volume Scenarios'!$U40*'Calcs - Price Scenarios'!$D33</f>
        <v>209.3347152414652</v>
      </c>
      <c r="T44" s="98">
        <f>'Calcs - Volume Scenarios'!$U40*'Calcs - Price Scenarios'!$E33</f>
        <v>0</v>
      </c>
      <c r="U44" s="99">
        <f>'Calcs - Volume Scenarios'!$U40*'Calcs - Price Scenarios'!$F33</f>
        <v>700.60181541904512</v>
      </c>
      <c r="X44" s="341"/>
      <c r="Y44" s="43">
        <v>2031</v>
      </c>
      <c r="Z44" s="249">
        <f>'Calcs - Volume Scenarios'!$AB40*'Calcs - Price Scenarios'!$D33</f>
        <v>329.38556340822328</v>
      </c>
      <c r="AA44" s="98">
        <f>'Calcs - Volume Scenarios'!$AB40*'Calcs - Price Scenarios'!$E33</f>
        <v>0</v>
      </c>
      <c r="AB44" s="99">
        <f>'Calcs - Volume Scenarios'!$AB40*'Calcs - Price Scenarios'!$F33</f>
        <v>1102.3882179811305</v>
      </c>
      <c r="AE44" s="341"/>
      <c r="AF44" s="43">
        <v>2031</v>
      </c>
      <c r="AG44" s="249">
        <f>'Calcs - Volume Scenarios'!$AI40*'Calcs - Price Scenarios'!$D33</f>
        <v>449.43641157498109</v>
      </c>
      <c r="AH44" s="98">
        <f>'Calcs - Volume Scenarios'!$AI40*'Calcs - Price Scenarios'!$E33</f>
        <v>0</v>
      </c>
      <c r="AI44" s="99">
        <f>'Calcs - Volume Scenarios'!$AI40*'Calcs - Price Scenarios'!$F33</f>
        <v>1504.174620543215</v>
      </c>
    </row>
    <row r="45" spans="1:35" x14ac:dyDescent="0.25">
      <c r="A45" s="316"/>
      <c r="C45" s="341"/>
      <c r="D45" s="43">
        <v>2032</v>
      </c>
      <c r="E45" s="249">
        <f>'Calcs - Volume Scenarios'!$G41*'Calcs - Price Scenarios'!$D34</f>
        <v>0</v>
      </c>
      <c r="F45" s="98">
        <f>'Calcs - Volume Scenarios'!$G41*'Calcs - Price Scenarios'!$E34</f>
        <v>0</v>
      </c>
      <c r="G45" s="99">
        <f>'Calcs - Volume Scenarios'!$G41*'Calcs - Price Scenarios'!$F34</f>
        <v>0</v>
      </c>
      <c r="J45" s="341"/>
      <c r="K45" s="43">
        <v>2032</v>
      </c>
      <c r="L45" s="249">
        <f>'Calcs - Volume Scenarios'!$N41*'Calcs - Price Scenarios'!$D34</f>
        <v>102.56023123649031</v>
      </c>
      <c r="M45" s="98">
        <f>'Calcs - Volume Scenarios'!$N41*'Calcs - Price Scenarios'!$E34</f>
        <v>0</v>
      </c>
      <c r="N45" s="99">
        <f>'Calcs - Volume Scenarios'!$N41*'Calcs - Price Scenarios'!$F34</f>
        <v>319.10712065506021</v>
      </c>
      <c r="Q45" s="341"/>
      <c r="R45" s="43">
        <v>2032</v>
      </c>
      <c r="S45" s="249">
        <f>'Calcs - Volume Scenarios'!$U41*'Calcs - Price Scenarios'!$D34</f>
        <v>240.46244304164384</v>
      </c>
      <c r="T45" s="98">
        <f>'Calcs - Volume Scenarios'!$U41*'Calcs - Price Scenarios'!$E34</f>
        <v>0</v>
      </c>
      <c r="U45" s="99">
        <f>'Calcs - Volume Scenarios'!$U41*'Calcs - Price Scenarios'!$F34</f>
        <v>748.17769909043602</v>
      </c>
      <c r="X45" s="341"/>
      <c r="Y45" s="43">
        <v>2032</v>
      </c>
      <c r="Z45" s="249">
        <f>'Calcs - Volume Scenarios'!$AB41*'Calcs - Price Scenarios'!$D34</f>
        <v>378.36465484679763</v>
      </c>
      <c r="AA45" s="98">
        <f>'Calcs - Volume Scenarios'!$AB41*'Calcs - Price Scenarios'!$E34</f>
        <v>0</v>
      </c>
      <c r="AB45" s="99">
        <f>'Calcs - Volume Scenarios'!$AB41*'Calcs - Price Scenarios'!$F34</f>
        <v>1177.2482775258129</v>
      </c>
      <c r="AE45" s="341"/>
      <c r="AF45" s="43">
        <v>2032</v>
      </c>
      <c r="AG45" s="249">
        <f>'Calcs - Volume Scenarios'!$AI41*'Calcs - Price Scenarios'!$D34</f>
        <v>516.2668666519512</v>
      </c>
      <c r="AH45" s="98">
        <f>'Calcs - Volume Scenarios'!$AI41*'Calcs - Price Scenarios'!$E34</f>
        <v>0</v>
      </c>
      <c r="AI45" s="99">
        <f>'Calcs - Volume Scenarios'!$AI41*'Calcs - Price Scenarios'!$F34</f>
        <v>1606.3188559611888</v>
      </c>
    </row>
    <row r="46" spans="1:35" x14ac:dyDescent="0.25">
      <c r="A46" s="316"/>
      <c r="C46" s="341"/>
      <c r="D46" s="43">
        <v>2033</v>
      </c>
      <c r="E46" s="249">
        <f>'Calcs - Volume Scenarios'!$G42*'Calcs - Price Scenarios'!$D35</f>
        <v>0</v>
      </c>
      <c r="F46" s="98">
        <f>'Calcs - Volume Scenarios'!$G42*'Calcs - Price Scenarios'!$E35</f>
        <v>0</v>
      </c>
      <c r="G46" s="99">
        <f>'Calcs - Volume Scenarios'!$G42*'Calcs - Price Scenarios'!$F35</f>
        <v>0</v>
      </c>
      <c r="J46" s="341"/>
      <c r="K46" s="43">
        <v>2033</v>
      </c>
      <c r="L46" s="249">
        <f>'Calcs - Volume Scenarios'!$N42*'Calcs - Price Scenarios'!$D35</f>
        <v>117.81076890947195</v>
      </c>
      <c r="M46" s="98">
        <f>'Calcs - Volume Scenarios'!$N42*'Calcs - Price Scenarios'!$E35</f>
        <v>0</v>
      </c>
      <c r="N46" s="99">
        <f>'Calcs - Volume Scenarios'!$N42*'Calcs - Price Scenarios'!$F35</f>
        <v>340.77678081989592</v>
      </c>
      <c r="Q46" s="341"/>
      <c r="R46" s="43">
        <v>2033</v>
      </c>
      <c r="S46" s="249">
        <f>'Calcs - Volume Scenarios'!$U42*'Calcs - Price Scenarios'!$D35</f>
        <v>276.21881276050453</v>
      </c>
      <c r="T46" s="98">
        <f>'Calcs - Volume Scenarios'!$U42*'Calcs - Price Scenarios'!$E35</f>
        <v>0</v>
      </c>
      <c r="U46" s="99">
        <f>'Calcs - Volume Scenarios'!$U42*'Calcs - Price Scenarios'!$F35</f>
        <v>798.98432618455126</v>
      </c>
      <c r="X46" s="341"/>
      <c r="Y46" s="43">
        <v>2033</v>
      </c>
      <c r="Z46" s="249">
        <f>'Calcs - Volume Scenarios'!$AB42*'Calcs - Price Scenarios'!$D35</f>
        <v>434.62685661153739</v>
      </c>
      <c r="AA46" s="98">
        <f>'Calcs - Volume Scenarios'!$AB42*'Calcs - Price Scenarios'!$E35</f>
        <v>0</v>
      </c>
      <c r="AB46" s="99">
        <f>'Calcs - Volume Scenarios'!$AB42*'Calcs - Price Scenarios'!$F35</f>
        <v>1257.1918715492075</v>
      </c>
      <c r="AE46" s="341"/>
      <c r="AF46" s="43">
        <v>2033</v>
      </c>
      <c r="AG46" s="249">
        <f>'Calcs - Volume Scenarios'!$AI42*'Calcs - Price Scenarios'!$D35</f>
        <v>593.03490046257002</v>
      </c>
      <c r="AH46" s="98">
        <f>'Calcs - Volume Scenarios'!$AI42*'Calcs - Price Scenarios'!$E35</f>
        <v>0</v>
      </c>
      <c r="AI46" s="99">
        <f>'Calcs - Volume Scenarios'!$AI42*'Calcs - Price Scenarios'!$F35</f>
        <v>1715.3994169138628</v>
      </c>
    </row>
    <row r="47" spans="1:35" x14ac:dyDescent="0.25">
      <c r="A47" s="317"/>
      <c r="C47" s="341"/>
      <c r="D47" s="43">
        <v>2034</v>
      </c>
      <c r="E47" s="249">
        <f>'Calcs - Volume Scenarios'!$G43*'Calcs - Price Scenarios'!$D36</f>
        <v>0</v>
      </c>
      <c r="F47" s="98">
        <f>'Calcs - Volume Scenarios'!$G43*'Calcs - Price Scenarios'!$E36</f>
        <v>0</v>
      </c>
      <c r="G47" s="99">
        <f>'Calcs - Volume Scenarios'!$G43*'Calcs - Price Scenarios'!$F36</f>
        <v>0</v>
      </c>
      <c r="J47" s="341"/>
      <c r="K47" s="43">
        <v>2034</v>
      </c>
      <c r="L47" s="249">
        <f>'Calcs - Volume Scenarios'!$N43*'Calcs - Price Scenarios'!$D36</f>
        <v>135.32903644724627</v>
      </c>
      <c r="M47" s="98">
        <f>'Calcs - Volume Scenarios'!$N43*'Calcs - Price Scenarios'!$E36</f>
        <v>0</v>
      </c>
      <c r="N47" s="99">
        <f>'Calcs - Volume Scenarios'!$N43*'Calcs - Price Scenarios'!$F36</f>
        <v>363.91796619136301</v>
      </c>
      <c r="Q47" s="341"/>
      <c r="R47" s="43">
        <v>2034</v>
      </c>
      <c r="S47" s="249">
        <f>'Calcs - Volume Scenarios'!$U43*'Calcs - Price Scenarios'!$D36</f>
        <v>317.29209583722559</v>
      </c>
      <c r="T47" s="98">
        <f>'Calcs - Volume Scenarios'!$U43*'Calcs - Price Scenarios'!$E36</f>
        <v>0</v>
      </c>
      <c r="U47" s="99">
        <f>'Calcs - Volume Scenarios'!$U43*'Calcs - Price Scenarios'!$F36</f>
        <v>853.2410873308022</v>
      </c>
      <c r="X47" s="341"/>
      <c r="Y47" s="43">
        <v>2034</v>
      </c>
      <c r="Z47" s="249">
        <f>'Calcs - Volume Scenarios'!$AB43*'Calcs - Price Scenarios'!$D36</f>
        <v>499.25515522720525</v>
      </c>
      <c r="AA47" s="98">
        <f>'Calcs - Volume Scenarios'!$AB43*'Calcs - Price Scenarios'!$E36</f>
        <v>0</v>
      </c>
      <c r="AB47" s="99">
        <f>'Calcs - Volume Scenarios'!$AB43*'Calcs - Price Scenarios'!$F36</f>
        <v>1342.5642084702424</v>
      </c>
      <c r="AE47" s="341"/>
      <c r="AF47" s="43">
        <v>2034</v>
      </c>
      <c r="AG47" s="249">
        <f>'Calcs - Volume Scenarios'!$AI43*'Calcs - Price Scenarios'!$D36</f>
        <v>681.21821461718457</v>
      </c>
      <c r="AH47" s="98">
        <f>'Calcs - Volume Scenarios'!$AI43*'Calcs - Price Scenarios'!$E36</f>
        <v>0</v>
      </c>
      <c r="AI47" s="99">
        <f>'Calcs - Volume Scenarios'!$AI43*'Calcs - Price Scenarios'!$F36</f>
        <v>1831.8873296096815</v>
      </c>
    </row>
    <row r="48" spans="1:35" x14ac:dyDescent="0.25">
      <c r="C48" s="341"/>
      <c r="D48" s="43">
        <v>2035</v>
      </c>
      <c r="E48" s="250">
        <f>'Calcs - Volume Scenarios'!$G44*'Calcs - Price Scenarios'!$D37</f>
        <v>0</v>
      </c>
      <c r="F48" s="100">
        <f>'Calcs - Volume Scenarios'!$G44*'Calcs - Price Scenarios'!$E37</f>
        <v>0</v>
      </c>
      <c r="G48" s="101">
        <f>'Calcs - Volume Scenarios'!$G44*'Calcs - Price Scenarios'!$F37</f>
        <v>0</v>
      </c>
      <c r="J48" s="341"/>
      <c r="K48" s="43">
        <v>2035</v>
      </c>
      <c r="L48" s="250">
        <f>'Calcs - Volume Scenarios'!$N44*'Calcs - Price Scenarios'!$D37</f>
        <v>155.45224155028561</v>
      </c>
      <c r="M48" s="100">
        <f>'Calcs - Volume Scenarios'!$N44*'Calcs - Price Scenarios'!$E37</f>
        <v>0</v>
      </c>
      <c r="N48" s="101">
        <f>'Calcs - Volume Scenarios'!$N44*'Calcs - Price Scenarios'!$F37</f>
        <v>388.63060387571409</v>
      </c>
      <c r="Q48" s="341"/>
      <c r="R48" s="43">
        <v>2035</v>
      </c>
      <c r="S48" s="250">
        <f>'Calcs - Volume Scenarios'!$U44*'Calcs - Price Scenarios'!$D37</f>
        <v>364.47290854178266</v>
      </c>
      <c r="T48" s="100">
        <f>'Calcs - Volume Scenarios'!$U44*'Calcs - Price Scenarios'!$E37</f>
        <v>0</v>
      </c>
      <c r="U48" s="101">
        <f>'Calcs - Volume Scenarios'!$U44*'Calcs - Price Scenarios'!$F37</f>
        <v>911.18227135445682</v>
      </c>
      <c r="X48" s="341"/>
      <c r="Y48" s="43">
        <v>2035</v>
      </c>
      <c r="Z48" s="250">
        <f>'Calcs - Volume Scenarios'!$AB44*'Calcs - Price Scenarios'!$D37</f>
        <v>573.49357553328014</v>
      </c>
      <c r="AA48" s="100">
        <f>'Calcs - Volume Scenarios'!$AB44*'Calcs - Price Scenarios'!$E37</f>
        <v>0</v>
      </c>
      <c r="AB48" s="101">
        <f>'Calcs - Volume Scenarios'!$AB44*'Calcs - Price Scenarios'!$F37</f>
        <v>1433.7339388332007</v>
      </c>
      <c r="AE48" s="341"/>
      <c r="AF48" s="43">
        <v>2035</v>
      </c>
      <c r="AG48" s="250">
        <f>'Calcs - Volume Scenarios'!$AI44*'Calcs - Price Scenarios'!$D37</f>
        <v>782.51424252477716</v>
      </c>
      <c r="AH48" s="100">
        <f>'Calcs - Volume Scenarios'!$AI44*'Calcs - Price Scenarios'!$E37</f>
        <v>0</v>
      </c>
      <c r="AI48" s="101">
        <f>'Calcs - Volume Scenarios'!$AI44*'Calcs - Price Scenarios'!$F37</f>
        <v>1956.2856063119434</v>
      </c>
    </row>
    <row r="49" spans="3:35" x14ac:dyDescent="0.25">
      <c r="C49" s="342"/>
      <c r="D49" s="18" t="s">
        <v>193</v>
      </c>
      <c r="E49" s="108">
        <f>SUM(E37:E48)</f>
        <v>0</v>
      </c>
      <c r="F49" s="108" t="e">
        <f t="shared" ref="F49" si="6">SUM(F37:F48)</f>
        <v>#VALUE!</v>
      </c>
      <c r="G49" s="109">
        <f t="shared" ref="G49" si="7">SUM(G37:G48)</f>
        <v>0</v>
      </c>
      <c r="J49" s="342"/>
      <c r="K49" s="18" t="s">
        <v>193</v>
      </c>
      <c r="L49" s="108">
        <f>SUM(L37:L48)</f>
        <v>600.43614521820155</v>
      </c>
      <c r="M49" s="108" t="e">
        <f t="shared" ref="M49:N49" si="8">SUM(M37:M48)</f>
        <v>#VALUE!</v>
      </c>
      <c r="N49" s="109">
        <f t="shared" si="8"/>
        <v>1711.2478843989936</v>
      </c>
      <c r="Q49" s="342"/>
      <c r="R49" s="18" t="s">
        <v>193</v>
      </c>
      <c r="S49" s="108">
        <f>SUM(S37:S48)</f>
        <v>1407.7809754226219</v>
      </c>
      <c r="T49" s="108" t="e">
        <f t="shared" ref="T49:U49" si="9">SUM(T37:T48)</f>
        <v>#VALUE!</v>
      </c>
      <c r="U49" s="109">
        <f t="shared" si="9"/>
        <v>4012.1871993792911</v>
      </c>
      <c r="X49" s="342"/>
      <c r="Y49" s="18" t="s">
        <v>193</v>
      </c>
      <c r="Z49" s="108">
        <f>SUM(Z37:Z48)</f>
        <v>2215.1258056270435</v>
      </c>
      <c r="AA49" s="108" t="e">
        <f t="shared" ref="AA49:AB49" si="10">SUM(AA37:AA48)</f>
        <v>#VALUE!</v>
      </c>
      <c r="AB49" s="109">
        <f t="shared" si="10"/>
        <v>6313.1265143595938</v>
      </c>
      <c r="AE49" s="342"/>
      <c r="AF49" s="18" t="s">
        <v>193</v>
      </c>
      <c r="AG49" s="108">
        <f>SUM(AG37:AG48)</f>
        <v>3022.4706358314643</v>
      </c>
      <c r="AH49" s="108" t="e">
        <f t="shared" ref="AH49:AI49" si="11">SUM(AH37:AH48)</f>
        <v>#VALUE!</v>
      </c>
      <c r="AI49" s="109">
        <f t="shared" si="11"/>
        <v>8614.0658293398919</v>
      </c>
    </row>
  </sheetData>
  <mergeCells count="16">
    <mergeCell ref="J6:J19"/>
    <mergeCell ref="J21:J34"/>
    <mergeCell ref="J36:J49"/>
    <mergeCell ref="A4:A47"/>
    <mergeCell ref="C21:C34"/>
    <mergeCell ref="C6:C19"/>
    <mergeCell ref="C36:C49"/>
    <mergeCell ref="AE6:AE19"/>
    <mergeCell ref="AE21:AE34"/>
    <mergeCell ref="AE36:AE49"/>
    <mergeCell ref="Q6:Q19"/>
    <mergeCell ref="Q21:Q34"/>
    <mergeCell ref="Q36:Q49"/>
    <mergeCell ref="X6:X19"/>
    <mergeCell ref="X21:X34"/>
    <mergeCell ref="X36:X4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B932F-388C-4340-86EA-C5C25E19B69B}">
  <sheetPr codeName="Sheet13">
    <tabColor theme="9"/>
  </sheetPr>
  <dimension ref="A1:AI71"/>
  <sheetViews>
    <sheetView topLeftCell="A3" workbookViewId="0">
      <selection activeCell="H5" sqref="H5:I5"/>
    </sheetView>
  </sheetViews>
  <sheetFormatPr defaultRowHeight="15" x14ac:dyDescent="0.25"/>
  <cols>
    <col min="1" max="1" width="30.5703125" customWidth="1"/>
    <col min="2" max="2" width="4.5703125" customWidth="1"/>
    <col min="3" max="14" width="30.5703125" customWidth="1"/>
    <col min="17" max="21" width="30.5703125" customWidth="1"/>
    <col min="24" max="28" width="30.5703125" customWidth="1"/>
    <col min="31" max="35" width="30.5703125" customWidth="1"/>
  </cols>
  <sheetData>
    <row r="1" spans="1:16" ht="16.5" thickTop="1" thickBot="1" x14ac:dyDescent="0.3">
      <c r="C1" t="s">
        <v>45</v>
      </c>
      <c r="D1" t="s">
        <v>56</v>
      </c>
      <c r="E1" s="197" t="e">
        <f ca="1">Checks!$D$17</f>
        <v>#VALUE!</v>
      </c>
      <c r="F1" t="s">
        <v>57</v>
      </c>
      <c r="G1" s="197"/>
    </row>
    <row r="2" spans="1:16" ht="19.5" thickTop="1" x14ac:dyDescent="0.3">
      <c r="C2" s="6" t="s">
        <v>134</v>
      </c>
      <c r="D2" s="6"/>
      <c r="E2" s="6"/>
    </row>
    <row r="3" spans="1:16" x14ac:dyDescent="0.25">
      <c r="A3" s="61" t="s">
        <v>48</v>
      </c>
    </row>
    <row r="4" spans="1:16" ht="80.099999999999994" customHeight="1" x14ac:dyDescent="0.3">
      <c r="A4" s="315" t="s">
        <v>194</v>
      </c>
      <c r="C4" s="36"/>
      <c r="D4" s="357" t="s">
        <v>195</v>
      </c>
      <c r="E4" s="357"/>
      <c r="F4" s="354" t="s">
        <v>196</v>
      </c>
      <c r="G4" s="355"/>
      <c r="H4" s="354" t="s">
        <v>197</v>
      </c>
      <c r="I4" s="355"/>
    </row>
    <row r="5" spans="1:16" ht="80.099999999999994" customHeight="1" x14ac:dyDescent="0.3">
      <c r="A5" s="316"/>
      <c r="C5" s="37"/>
      <c r="D5" s="356"/>
      <c r="E5" s="356"/>
      <c r="F5" s="352">
        <v>0.01</v>
      </c>
      <c r="G5" s="353"/>
      <c r="H5" s="352">
        <v>0.08</v>
      </c>
      <c r="I5" s="353"/>
    </row>
    <row r="6" spans="1:16" ht="80.099999999999994" customHeight="1" x14ac:dyDescent="0.25">
      <c r="A6" s="316"/>
      <c r="C6" s="252" t="s">
        <v>60</v>
      </c>
      <c r="D6" s="91" t="s">
        <v>198</v>
      </c>
      <c r="E6" s="161" t="s">
        <v>199</v>
      </c>
      <c r="F6" s="77" t="s">
        <v>198</v>
      </c>
      <c r="G6" s="92" t="s">
        <v>199</v>
      </c>
      <c r="H6" s="77" t="s">
        <v>198</v>
      </c>
      <c r="I6" s="92" t="s">
        <v>199</v>
      </c>
    </row>
    <row r="7" spans="1:16" x14ac:dyDescent="0.25">
      <c r="A7" s="316"/>
      <c r="C7" s="124">
        <v>2023</v>
      </c>
      <c r="D7" s="79">
        <v>0.02</v>
      </c>
      <c r="E7" s="162" t="s">
        <v>200</v>
      </c>
      <c r="F7" s="79">
        <f>D7+$F$5</f>
        <v>0.03</v>
      </c>
      <c r="G7" s="50" t="s">
        <v>200</v>
      </c>
      <c r="H7" s="79">
        <v>0.08</v>
      </c>
      <c r="I7" s="50" t="s">
        <v>200</v>
      </c>
      <c r="K7">
        <v>6.9999999999999993E-3</v>
      </c>
      <c r="L7" t="s">
        <v>200</v>
      </c>
      <c r="M7">
        <v>1.7000000000000001E-2</v>
      </c>
      <c r="N7" t="s">
        <v>200</v>
      </c>
      <c r="O7">
        <v>5.7000000000000002E-2</v>
      </c>
      <c r="P7" t="s">
        <v>200</v>
      </c>
    </row>
    <row r="8" spans="1:16" x14ac:dyDescent="0.25">
      <c r="A8" s="316"/>
      <c r="C8" s="89">
        <v>2024</v>
      </c>
      <c r="D8" s="79">
        <v>0.02</v>
      </c>
      <c r="E8" s="51">
        <f>1/((1+D8)*(1+D7))</f>
        <v>0.96116878123798544</v>
      </c>
      <c r="F8" s="80">
        <f t="shared" ref="F8:F9" si="0">D8+$F$5</f>
        <v>0.03</v>
      </c>
      <c r="G8" s="51">
        <f>1/((1+F8)*(1+F7))</f>
        <v>0.94259590913375435</v>
      </c>
      <c r="H8" s="79">
        <v>0.08</v>
      </c>
      <c r="I8" s="51">
        <f>1/((1+H8)*(1+H7))</f>
        <v>0.85733882030178321</v>
      </c>
      <c r="K8">
        <v>3.4000000000000002E-2</v>
      </c>
      <c r="L8">
        <v>0.96039522184169235</v>
      </c>
      <c r="M8">
        <v>4.4000000000000004E-2</v>
      </c>
      <c r="N8">
        <v>0.94184307387440347</v>
      </c>
      <c r="O8">
        <v>8.4000000000000005E-2</v>
      </c>
      <c r="P8">
        <v>0.87276180235785328</v>
      </c>
    </row>
    <row r="9" spans="1:16" x14ac:dyDescent="0.25">
      <c r="A9" s="316"/>
      <c r="C9" s="89">
        <v>2025</v>
      </c>
      <c r="D9" s="79">
        <v>0.02</v>
      </c>
      <c r="E9" s="51">
        <f>E8/(1+D9)</f>
        <v>0.9423223345470445</v>
      </c>
      <c r="F9" s="80">
        <f t="shared" si="0"/>
        <v>0.03</v>
      </c>
      <c r="G9" s="51">
        <f>G8/(1+F9)</f>
        <v>0.9151416593531595</v>
      </c>
      <c r="H9" s="79">
        <v>0.08</v>
      </c>
      <c r="I9" s="51">
        <f>I8/(1+H9)</f>
        <v>0.79383224102016958</v>
      </c>
      <c r="K9">
        <v>2.3300000000000001E-2</v>
      </c>
      <c r="L9">
        <v>0.93852753038375081</v>
      </c>
      <c r="M9">
        <v>3.3300000000000003E-2</v>
      </c>
      <c r="N9">
        <v>0.91149044215078234</v>
      </c>
      <c r="O9">
        <v>7.3300000000000004E-2</v>
      </c>
      <c r="P9">
        <v>0.81315736733238919</v>
      </c>
    </row>
    <row r="10" spans="1:16" x14ac:dyDescent="0.25">
      <c r="A10" s="316"/>
      <c r="C10" s="89">
        <v>2026</v>
      </c>
      <c r="D10" s="79">
        <v>0.02</v>
      </c>
      <c r="E10" s="51">
        <f t="shared" ref="E10:E19" si="1">E9/(1+D10)</f>
        <v>0.9238454260265142</v>
      </c>
      <c r="F10" s="80">
        <f t="shared" ref="F10:F19" si="2">D10+$F$5</f>
        <v>0.03</v>
      </c>
      <c r="G10" s="51">
        <f t="shared" ref="G10:G19" si="3">G9/(1+F10)</f>
        <v>0.88848704791568878</v>
      </c>
      <c r="H10" s="79">
        <v>0.08</v>
      </c>
      <c r="I10" s="51">
        <f t="shared" ref="I10:I19" si="4">I9/(1+H10)</f>
        <v>0.73502985279645328</v>
      </c>
      <c r="K10">
        <v>1.9E-2</v>
      </c>
      <c r="L10">
        <v>0.92102799841388705</v>
      </c>
      <c r="M10">
        <v>2.8999999999999998E-2</v>
      </c>
      <c r="N10">
        <v>0.88580217896091584</v>
      </c>
      <c r="O10">
        <v>6.9000000000000006E-2</v>
      </c>
      <c r="P10">
        <v>0.76067106392178596</v>
      </c>
    </row>
    <row r="11" spans="1:16" x14ac:dyDescent="0.25">
      <c r="A11" s="316"/>
      <c r="C11" s="89">
        <v>2027</v>
      </c>
      <c r="D11" s="79">
        <v>0.02</v>
      </c>
      <c r="E11" s="51">
        <f t="shared" si="1"/>
        <v>0.90573080982991583</v>
      </c>
      <c r="F11" s="80">
        <f t="shared" si="2"/>
        <v>0.03</v>
      </c>
      <c r="G11" s="51">
        <f t="shared" si="3"/>
        <v>0.86260878438416388</v>
      </c>
      <c r="H11" s="79">
        <v>0.08</v>
      </c>
      <c r="I11" s="51">
        <f t="shared" si="4"/>
        <v>0.68058319703375303</v>
      </c>
      <c r="K11">
        <v>1.8499999999999999E-2</v>
      </c>
      <c r="L11">
        <v>0.90429847659684548</v>
      </c>
      <c r="M11">
        <v>2.8499999999999998E-2</v>
      </c>
      <c r="N11">
        <v>0.86125637234897023</v>
      </c>
      <c r="O11">
        <v>6.8500000000000005E-2</v>
      </c>
      <c r="P11">
        <v>0.71190553478875618</v>
      </c>
    </row>
    <row r="12" spans="1:16" x14ac:dyDescent="0.25">
      <c r="A12" s="316"/>
      <c r="C12" s="89">
        <v>2028</v>
      </c>
      <c r="D12" s="79">
        <v>0.02</v>
      </c>
      <c r="E12" s="51">
        <f t="shared" si="1"/>
        <v>0.88797138218619198</v>
      </c>
      <c r="F12" s="80">
        <f t="shared" si="2"/>
        <v>0.03</v>
      </c>
      <c r="G12" s="51">
        <f t="shared" si="3"/>
        <v>0.83748425668365423</v>
      </c>
      <c r="H12" s="79">
        <v>0.08</v>
      </c>
      <c r="I12" s="51">
        <f t="shared" si="4"/>
        <v>0.63016962688310463</v>
      </c>
      <c r="K12">
        <v>1.9000000000000003E-2</v>
      </c>
      <c r="L12">
        <v>0.88743717036000547</v>
      </c>
      <c r="M12">
        <v>2.9000000000000005E-2</v>
      </c>
      <c r="N12">
        <v>0.83698384096109846</v>
      </c>
      <c r="O12">
        <v>6.9000000000000006E-2</v>
      </c>
      <c r="P12">
        <v>0.66595466303906103</v>
      </c>
    </row>
    <row r="13" spans="1:16" x14ac:dyDescent="0.25">
      <c r="A13" s="316"/>
      <c r="C13" s="89">
        <v>2029</v>
      </c>
      <c r="D13" s="79">
        <v>0.02</v>
      </c>
      <c r="E13" s="51">
        <f t="shared" si="1"/>
        <v>0.87056017861391366</v>
      </c>
      <c r="F13" s="80">
        <f t="shared" si="2"/>
        <v>0.03</v>
      </c>
      <c r="G13" s="51">
        <f t="shared" si="3"/>
        <v>0.81309151134335356</v>
      </c>
      <c r="H13" s="79">
        <v>0.08</v>
      </c>
      <c r="I13" s="51">
        <f t="shared" si="4"/>
        <v>0.58349039526213387</v>
      </c>
      <c r="K13">
        <v>1.9700000000000002E-2</v>
      </c>
      <c r="L13">
        <v>0.87029240988526568</v>
      </c>
      <c r="M13">
        <v>2.9700000000000004E-2</v>
      </c>
      <c r="N13">
        <v>0.81284242105574289</v>
      </c>
      <c r="O13">
        <v>6.9700000000000012E-2</v>
      </c>
      <c r="P13">
        <v>0.62256208566800131</v>
      </c>
    </row>
    <row r="14" spans="1:16" x14ac:dyDescent="0.25">
      <c r="A14" s="316"/>
      <c r="C14" s="89">
        <v>2030</v>
      </c>
      <c r="D14" s="79">
        <v>0.02</v>
      </c>
      <c r="E14" s="51">
        <f t="shared" si="1"/>
        <v>0.8534903711901114</v>
      </c>
      <c r="F14" s="80">
        <f t="shared" si="2"/>
        <v>0.03</v>
      </c>
      <c r="G14" s="51">
        <f t="shared" si="3"/>
        <v>0.7894092343139355</v>
      </c>
      <c r="H14" s="79">
        <v>0.08</v>
      </c>
      <c r="I14" s="51">
        <f t="shared" si="4"/>
        <v>0.54026888450197574</v>
      </c>
      <c r="K14">
        <v>2.06E-2</v>
      </c>
      <c r="L14">
        <v>0.85272624915271966</v>
      </c>
      <c r="M14">
        <v>3.0600000000000002E-2</v>
      </c>
      <c r="N14">
        <v>0.78870795755457301</v>
      </c>
      <c r="O14">
        <v>7.0599999999999996E-2</v>
      </c>
      <c r="P14">
        <v>0.58150764586960701</v>
      </c>
    </row>
    <row r="15" spans="1:16" x14ac:dyDescent="0.25">
      <c r="A15" s="316"/>
      <c r="C15" s="89">
        <v>2031</v>
      </c>
      <c r="D15" s="79">
        <v>0.02</v>
      </c>
      <c r="E15" s="51">
        <f t="shared" si="1"/>
        <v>0.83675526587265825</v>
      </c>
      <c r="F15" s="80">
        <f t="shared" si="2"/>
        <v>0.03</v>
      </c>
      <c r="G15" s="51">
        <f t="shared" si="3"/>
        <v>0.76641673234362673</v>
      </c>
      <c r="H15" s="79">
        <v>0.08</v>
      </c>
      <c r="I15" s="51">
        <f t="shared" si="4"/>
        <v>0.50024896713145894</v>
      </c>
      <c r="K15">
        <v>2.1700000000000001E-2</v>
      </c>
      <c r="L15">
        <v>0.83461510145122797</v>
      </c>
      <c r="M15">
        <v>3.1699999999999999E-2</v>
      </c>
      <c r="N15">
        <v>0.76447412770628376</v>
      </c>
      <c r="O15">
        <v>7.17E-2</v>
      </c>
      <c r="P15">
        <v>0.5426030100490874</v>
      </c>
    </row>
    <row r="16" spans="1:16" x14ac:dyDescent="0.25">
      <c r="A16" s="316"/>
      <c r="C16" s="89">
        <v>2032</v>
      </c>
      <c r="D16" s="79">
        <v>0.02</v>
      </c>
      <c r="E16" s="51">
        <f t="shared" si="1"/>
        <v>0.82034829987515512</v>
      </c>
      <c r="F16" s="80">
        <f t="shared" si="2"/>
        <v>0.03</v>
      </c>
      <c r="G16" s="51">
        <f t="shared" si="3"/>
        <v>0.74409391489672494</v>
      </c>
      <c r="H16" s="79">
        <v>0.08</v>
      </c>
      <c r="I16" s="51">
        <f t="shared" si="4"/>
        <v>0.46319348808468419</v>
      </c>
      <c r="K16">
        <v>2.2799999999999997E-2</v>
      </c>
      <c r="L16">
        <v>0.81601007181387175</v>
      </c>
      <c r="M16">
        <v>3.2799999999999996E-2</v>
      </c>
      <c r="N16">
        <v>0.74019570846851646</v>
      </c>
      <c r="O16">
        <v>7.2800000000000004E-2</v>
      </c>
      <c r="P16">
        <v>0.50578207498982797</v>
      </c>
    </row>
    <row r="17" spans="1:35" x14ac:dyDescent="0.25">
      <c r="A17" s="316"/>
      <c r="C17" s="89">
        <v>2033</v>
      </c>
      <c r="D17" s="79">
        <v>0.02</v>
      </c>
      <c r="E17" s="51">
        <f t="shared" si="1"/>
        <v>0.80426303909328933</v>
      </c>
      <c r="F17" s="80">
        <f t="shared" si="2"/>
        <v>0.03</v>
      </c>
      <c r="G17" s="51">
        <f t="shared" si="3"/>
        <v>0.7224212765987621</v>
      </c>
      <c r="H17" s="79">
        <v>0.08</v>
      </c>
      <c r="I17" s="51">
        <f t="shared" si="4"/>
        <v>0.42888285933767051</v>
      </c>
      <c r="K17">
        <v>2.3900000000000005E-2</v>
      </c>
      <c r="L17">
        <v>0.79696266414090411</v>
      </c>
      <c r="M17">
        <v>3.3900000000000007E-2</v>
      </c>
      <c r="N17">
        <v>0.71592582306656005</v>
      </c>
      <c r="O17">
        <v>7.3900000000000007E-2</v>
      </c>
      <c r="P17">
        <v>0.47097688331299742</v>
      </c>
    </row>
    <row r="18" spans="1:35" x14ac:dyDescent="0.25">
      <c r="A18" s="316"/>
      <c r="C18" s="89">
        <v>2034</v>
      </c>
      <c r="D18" s="79">
        <v>0.02</v>
      </c>
      <c r="E18" s="51">
        <f t="shared" si="1"/>
        <v>0.78849317558165621</v>
      </c>
      <c r="F18" s="80">
        <f t="shared" si="2"/>
        <v>0.03</v>
      </c>
      <c r="G18" s="51">
        <f t="shared" si="3"/>
        <v>0.70137988019297293</v>
      </c>
      <c r="H18" s="79">
        <v>0.08</v>
      </c>
      <c r="I18" s="51">
        <f t="shared" si="4"/>
        <v>0.39711375864599119</v>
      </c>
      <c r="K18">
        <v>2.4799999999999996E-2</v>
      </c>
      <c r="L18">
        <v>0.77767629209690103</v>
      </c>
      <c r="M18">
        <v>3.4799999999999998E-2</v>
      </c>
      <c r="N18">
        <v>0.69184946179605733</v>
      </c>
      <c r="O18">
        <v>7.4800000000000005E-2</v>
      </c>
      <c r="P18">
        <v>0.43819955648771625</v>
      </c>
    </row>
    <row r="19" spans="1:35" x14ac:dyDescent="0.25">
      <c r="A19" s="317"/>
      <c r="C19" s="90">
        <v>2035</v>
      </c>
      <c r="D19" s="79">
        <v>0.02</v>
      </c>
      <c r="E19" s="53">
        <f t="shared" si="1"/>
        <v>0.77303252508005504</v>
      </c>
      <c r="F19" s="81">
        <f t="shared" si="2"/>
        <v>0.03</v>
      </c>
      <c r="G19" s="53">
        <f t="shared" si="3"/>
        <v>0.68095133999317758</v>
      </c>
      <c r="H19" s="79">
        <v>0.08</v>
      </c>
      <c r="I19" s="53">
        <f t="shared" si="4"/>
        <v>0.36769792467221402</v>
      </c>
      <c r="K19">
        <v>2.5700000000000001E-2</v>
      </c>
      <c r="L19">
        <v>0.75819078882412105</v>
      </c>
      <c r="M19">
        <v>3.5700000000000003E-2</v>
      </c>
      <c r="N19">
        <v>0.66800179762098799</v>
      </c>
      <c r="O19">
        <v>7.5700000000000003E-2</v>
      </c>
      <c r="P19">
        <v>0.40736223527722992</v>
      </c>
    </row>
    <row r="22" spans="1:35" s="279" customFormat="1" x14ac:dyDescent="0.25">
      <c r="C22" s="282" t="s">
        <v>148</v>
      </c>
    </row>
    <row r="24" spans="1:35" ht="17.25" x14ac:dyDescent="0.3">
      <c r="C24" s="20" t="s">
        <v>201</v>
      </c>
      <c r="E24" s="15"/>
      <c r="F24" s="15"/>
      <c r="G24" s="15"/>
      <c r="H24" s="15"/>
    </row>
    <row r="25" spans="1:35" ht="17.25" x14ac:dyDescent="0.3">
      <c r="C25" s="20"/>
      <c r="E25" s="15"/>
      <c r="F25" s="15"/>
      <c r="G25" s="15"/>
      <c r="H25" s="15"/>
    </row>
    <row r="26" spans="1:35" ht="17.25" x14ac:dyDescent="0.3">
      <c r="C26" s="20" t="s">
        <v>202</v>
      </c>
      <c r="D26" s="251">
        <f>Inputs!$D$38</f>
        <v>51</v>
      </c>
      <c r="E26" s="15"/>
      <c r="F26" s="15"/>
      <c r="G26" s="15"/>
      <c r="H26" s="15"/>
      <c r="J26" s="20" t="s">
        <v>202</v>
      </c>
      <c r="K26" s="251">
        <f>Inputs!$E$38</f>
        <v>55</v>
      </c>
      <c r="Q26" s="20" t="s">
        <v>202</v>
      </c>
      <c r="R26" s="251">
        <f>Inputs!$F$38</f>
        <v>60</v>
      </c>
      <c r="X26" s="20" t="s">
        <v>202</v>
      </c>
      <c r="Y26" s="251">
        <f>Inputs!$G$38</f>
        <v>65</v>
      </c>
      <c r="AE26" s="20" t="s">
        <v>202</v>
      </c>
      <c r="AF26" s="251">
        <f>Inputs!$H$38</f>
        <v>70</v>
      </c>
    </row>
    <row r="27" spans="1:35" x14ac:dyDescent="0.25">
      <c r="A27" s="61" t="s">
        <v>48</v>
      </c>
    </row>
    <row r="28" spans="1:35" ht="30" x14ac:dyDescent="0.25">
      <c r="A28" s="315" t="s">
        <v>203</v>
      </c>
      <c r="C28" s="343" t="s">
        <v>61</v>
      </c>
      <c r="D28" s="253" t="s">
        <v>60</v>
      </c>
      <c r="E28" s="183" t="str">
        <f>Inputs!$C$52</f>
        <v>IEA - Emerging and developed economies</v>
      </c>
      <c r="F28" s="183" t="s">
        <v>192</v>
      </c>
      <c r="G28" s="247" t="str">
        <f>Inputs!$C$50</f>
        <v>IEA - Selected EMDE with net zero targets scenario</v>
      </c>
      <c r="J28" s="343" t="s">
        <v>61</v>
      </c>
      <c r="K28" s="253" t="s">
        <v>60</v>
      </c>
      <c r="L28" s="183" t="str">
        <f>Inputs!$C$52</f>
        <v>IEA - Emerging and developed economies</v>
      </c>
      <c r="M28" s="183" t="s">
        <v>192</v>
      </c>
      <c r="N28" s="247" t="str">
        <f>Inputs!$C$50</f>
        <v>IEA - Selected EMDE with net zero targets scenario</v>
      </c>
      <c r="Q28" s="343" t="s">
        <v>61</v>
      </c>
      <c r="R28" s="253" t="s">
        <v>60</v>
      </c>
      <c r="S28" s="183" t="str">
        <f>Inputs!$C$52</f>
        <v>IEA - Emerging and developed economies</v>
      </c>
      <c r="T28" s="183" t="s">
        <v>192</v>
      </c>
      <c r="U28" s="247" t="str">
        <f>Inputs!$C$50</f>
        <v>IEA - Selected EMDE with net zero targets scenario</v>
      </c>
      <c r="X28" s="343" t="s">
        <v>61</v>
      </c>
      <c r="Y28" s="253" t="s">
        <v>60</v>
      </c>
      <c r="Z28" s="183" t="str">
        <f>Inputs!$C$52</f>
        <v>IEA - Emerging and developed economies</v>
      </c>
      <c r="AA28" s="183" t="s">
        <v>192</v>
      </c>
      <c r="AB28" s="247" t="str">
        <f>Inputs!$C$50</f>
        <v>IEA - Selected EMDE with net zero targets scenario</v>
      </c>
      <c r="AE28" s="343" t="s">
        <v>61</v>
      </c>
      <c r="AF28" s="253" t="s">
        <v>60</v>
      </c>
      <c r="AG28" s="183" t="str">
        <f>Inputs!$C$52</f>
        <v>IEA - Emerging and developed economies</v>
      </c>
      <c r="AH28" s="183" t="s">
        <v>192</v>
      </c>
      <c r="AI28" s="247" t="str">
        <f>Inputs!$C$50</f>
        <v>IEA - Selected EMDE with net zero targets scenario</v>
      </c>
    </row>
    <row r="29" spans="1:35" x14ac:dyDescent="0.25">
      <c r="A29" s="316"/>
      <c r="C29" s="344"/>
      <c r="D29" s="124">
        <v>2024</v>
      </c>
      <c r="E29" s="104">
        <f>'Calcs - Price x Vol'!E7*'Calcs - Discounted cash flows'!$E8</f>
        <v>0</v>
      </c>
      <c r="F29" s="104" t="e">
        <f>'Calcs - Price x Vol'!F7*'Calcs - Discounted cash flows'!$E8</f>
        <v>#VALUE!</v>
      </c>
      <c r="G29" s="105">
        <f>'Calcs - Price x Vol'!G7*'Calcs - Discounted cash flows'!$E8</f>
        <v>0</v>
      </c>
      <c r="J29" s="344"/>
      <c r="K29" s="124">
        <v>2024</v>
      </c>
      <c r="L29" s="104">
        <f>'Calcs - Price x Vol'!L7*'Calcs - Discounted cash flows'!$E8</f>
        <v>0</v>
      </c>
      <c r="M29" s="104" t="e">
        <f>'Calcs - Price x Vol'!M7*'Calcs - Discounted cash flows'!$E8</f>
        <v>#VALUE!</v>
      </c>
      <c r="N29" s="105">
        <f>'Calcs - Price x Vol'!N7*'Calcs - Discounted cash flows'!$E8</f>
        <v>0</v>
      </c>
      <c r="Q29" s="344"/>
      <c r="R29" s="124">
        <v>2024</v>
      </c>
      <c r="S29" s="104">
        <f>'Calcs - Price x Vol'!S7*'Calcs - Discounted cash flows'!$E8</f>
        <v>0</v>
      </c>
      <c r="T29" s="104" t="e">
        <f>'Calcs - Price x Vol'!T7*'Calcs - Discounted cash flows'!$E8</f>
        <v>#VALUE!</v>
      </c>
      <c r="U29" s="105">
        <f>'Calcs - Price x Vol'!U7*'Calcs - Discounted cash flows'!$E8</f>
        <v>0</v>
      </c>
      <c r="X29" s="344"/>
      <c r="Y29" s="124">
        <v>2024</v>
      </c>
      <c r="Z29" s="104">
        <f>'Calcs - Price x Vol'!Z7*'Calcs - Discounted cash flows'!$E8</f>
        <v>0</v>
      </c>
      <c r="AA29" s="104" t="e">
        <f>'Calcs - Price x Vol'!AA7*'Calcs - Discounted cash flows'!$E8</f>
        <v>#VALUE!</v>
      </c>
      <c r="AB29" s="105">
        <f>'Calcs - Price x Vol'!AB7*'Calcs - Discounted cash flows'!$E8</f>
        <v>0</v>
      </c>
      <c r="AE29" s="344"/>
      <c r="AF29" s="124">
        <v>2024</v>
      </c>
      <c r="AG29" s="104">
        <f>'Calcs - Price x Vol'!AG7*'Calcs - Discounted cash flows'!$E8</f>
        <v>0</v>
      </c>
      <c r="AH29" s="104" t="e">
        <f>'Calcs - Price x Vol'!AH7*'Calcs - Discounted cash flows'!$E8</f>
        <v>#VALUE!</v>
      </c>
      <c r="AI29" s="105">
        <f>'Calcs - Price x Vol'!AI7*'Calcs - Discounted cash flows'!$E8</f>
        <v>0</v>
      </c>
    </row>
    <row r="30" spans="1:35" x14ac:dyDescent="0.25">
      <c r="A30" s="316"/>
      <c r="C30" s="344"/>
      <c r="D30" s="89">
        <v>2025</v>
      </c>
      <c r="E30" s="106">
        <f>'Calcs - Price x Vol'!E8*'Calcs - Discounted cash flows'!$E9</f>
        <v>0</v>
      </c>
      <c r="F30" s="106">
        <f>'Calcs - Price x Vol'!F8*'Calcs - Discounted cash flows'!$E9</f>
        <v>0</v>
      </c>
      <c r="G30" s="107">
        <f>'Calcs - Price x Vol'!G8*'Calcs - Discounted cash flows'!$E9</f>
        <v>0</v>
      </c>
      <c r="J30" s="344"/>
      <c r="K30" s="89">
        <v>2025</v>
      </c>
      <c r="L30" s="106">
        <f>'Calcs - Price x Vol'!L8*'Calcs - Discounted cash flows'!$E9</f>
        <v>0</v>
      </c>
      <c r="M30" s="106">
        <f>'Calcs - Price x Vol'!M8*'Calcs - Discounted cash flows'!$E9</f>
        <v>0</v>
      </c>
      <c r="N30" s="107">
        <f>'Calcs - Price x Vol'!N8*'Calcs - Discounted cash flows'!$E9</f>
        <v>0</v>
      </c>
      <c r="Q30" s="344"/>
      <c r="R30" s="89">
        <v>2025</v>
      </c>
      <c r="S30" s="106">
        <f>'Calcs - Price x Vol'!S8*'Calcs - Discounted cash flows'!$E9</f>
        <v>0</v>
      </c>
      <c r="T30" s="106">
        <f>'Calcs - Price x Vol'!T8*'Calcs - Discounted cash flows'!$E9</f>
        <v>0</v>
      </c>
      <c r="U30" s="107">
        <f>'Calcs - Price x Vol'!U8*'Calcs - Discounted cash flows'!$E9</f>
        <v>0</v>
      </c>
      <c r="X30" s="344"/>
      <c r="Y30" s="89">
        <v>2025</v>
      </c>
      <c r="Z30" s="106">
        <f>'Calcs - Price x Vol'!Z8*'Calcs - Discounted cash flows'!$E9</f>
        <v>0</v>
      </c>
      <c r="AA30" s="106">
        <f>'Calcs - Price x Vol'!AA8*'Calcs - Discounted cash flows'!$E9</f>
        <v>0</v>
      </c>
      <c r="AB30" s="107">
        <f>'Calcs - Price x Vol'!AB8*'Calcs - Discounted cash flows'!$E9</f>
        <v>0</v>
      </c>
      <c r="AE30" s="344"/>
      <c r="AF30" s="89">
        <v>2025</v>
      </c>
      <c r="AG30" s="106">
        <f>'Calcs - Price x Vol'!AG8*'Calcs - Discounted cash flows'!$E9</f>
        <v>0</v>
      </c>
      <c r="AH30" s="106">
        <f>'Calcs - Price x Vol'!AH8*'Calcs - Discounted cash flows'!$E9</f>
        <v>0</v>
      </c>
      <c r="AI30" s="107">
        <f>'Calcs - Price x Vol'!AI8*'Calcs - Discounted cash flows'!$E9</f>
        <v>0</v>
      </c>
    </row>
    <row r="31" spans="1:35" x14ac:dyDescent="0.25">
      <c r="A31" s="316"/>
      <c r="C31" s="344"/>
      <c r="D31" s="89">
        <v>2026</v>
      </c>
      <c r="E31" s="106">
        <f>'Calcs - Price x Vol'!E9*'Calcs - Discounted cash flows'!$E10</f>
        <v>0</v>
      </c>
      <c r="F31" s="106">
        <f>'Calcs - Price x Vol'!F9*'Calcs - Discounted cash flows'!$E10</f>
        <v>0</v>
      </c>
      <c r="G31" s="107">
        <f>'Calcs - Price x Vol'!G9*'Calcs - Discounted cash flows'!$E10</f>
        <v>0</v>
      </c>
      <c r="J31" s="344"/>
      <c r="K31" s="89">
        <v>2026</v>
      </c>
      <c r="L31" s="106">
        <f>'Calcs - Price x Vol'!L9*'Calcs - Discounted cash flows'!$E10</f>
        <v>0</v>
      </c>
      <c r="M31" s="106">
        <f>'Calcs - Price x Vol'!M9*'Calcs - Discounted cash flows'!$E10</f>
        <v>0</v>
      </c>
      <c r="N31" s="107">
        <f>'Calcs - Price x Vol'!N9*'Calcs - Discounted cash flows'!$E10</f>
        <v>0</v>
      </c>
      <c r="Q31" s="344"/>
      <c r="R31" s="89">
        <v>2026</v>
      </c>
      <c r="S31" s="106">
        <f>'Calcs - Price x Vol'!S9*'Calcs - Discounted cash flows'!$E10</f>
        <v>0</v>
      </c>
      <c r="T31" s="106">
        <f>'Calcs - Price x Vol'!T9*'Calcs - Discounted cash flows'!$E10</f>
        <v>0</v>
      </c>
      <c r="U31" s="107">
        <f>'Calcs - Price x Vol'!U9*'Calcs - Discounted cash flows'!$E10</f>
        <v>0</v>
      </c>
      <c r="X31" s="344"/>
      <c r="Y31" s="89">
        <v>2026</v>
      </c>
      <c r="Z31" s="106">
        <f>'Calcs - Price x Vol'!Z9*'Calcs - Discounted cash flows'!$E10</f>
        <v>0</v>
      </c>
      <c r="AA31" s="106">
        <f>'Calcs - Price x Vol'!AA9*'Calcs - Discounted cash flows'!$E10</f>
        <v>0</v>
      </c>
      <c r="AB31" s="107">
        <f>'Calcs - Price x Vol'!AB9*'Calcs - Discounted cash flows'!$E10</f>
        <v>0</v>
      </c>
      <c r="AE31" s="344"/>
      <c r="AF31" s="89">
        <v>2026</v>
      </c>
      <c r="AG31" s="106">
        <f>'Calcs - Price x Vol'!AG9*'Calcs - Discounted cash flows'!$E10</f>
        <v>0</v>
      </c>
      <c r="AH31" s="106">
        <f>'Calcs - Price x Vol'!AH9*'Calcs - Discounted cash flows'!$E10</f>
        <v>0</v>
      </c>
      <c r="AI31" s="107">
        <f>'Calcs - Price x Vol'!AI9*'Calcs - Discounted cash flows'!$E10</f>
        <v>0</v>
      </c>
    </row>
    <row r="32" spans="1:35" x14ac:dyDescent="0.25">
      <c r="A32" s="316"/>
      <c r="C32" s="344"/>
      <c r="D32" s="89">
        <v>2027</v>
      </c>
      <c r="E32" s="106">
        <f>'Calcs - Price x Vol'!E10*'Calcs - Discounted cash flows'!$E11</f>
        <v>0</v>
      </c>
      <c r="F32" s="106">
        <f>'Calcs - Price x Vol'!F10*'Calcs - Discounted cash flows'!$E11</f>
        <v>0</v>
      </c>
      <c r="G32" s="107">
        <f>'Calcs - Price x Vol'!G10*'Calcs - Discounted cash flows'!$E11</f>
        <v>0</v>
      </c>
      <c r="J32" s="344"/>
      <c r="K32" s="89">
        <v>2027</v>
      </c>
      <c r="L32" s="106">
        <f>'Calcs - Price x Vol'!L10*'Calcs - Discounted cash flows'!$E11</f>
        <v>0</v>
      </c>
      <c r="M32" s="106">
        <f>'Calcs - Price x Vol'!M10*'Calcs - Discounted cash flows'!$E11</f>
        <v>0</v>
      </c>
      <c r="N32" s="107">
        <f>'Calcs - Price x Vol'!N10*'Calcs - Discounted cash flows'!$E11</f>
        <v>0</v>
      </c>
      <c r="Q32" s="344"/>
      <c r="R32" s="89">
        <v>2027</v>
      </c>
      <c r="S32" s="106">
        <f>'Calcs - Price x Vol'!S10*'Calcs - Discounted cash flows'!$E11</f>
        <v>0</v>
      </c>
      <c r="T32" s="106">
        <f>'Calcs - Price x Vol'!T10*'Calcs - Discounted cash flows'!$E11</f>
        <v>0</v>
      </c>
      <c r="U32" s="107">
        <f>'Calcs - Price x Vol'!U10*'Calcs - Discounted cash flows'!$E11</f>
        <v>0</v>
      </c>
      <c r="X32" s="344"/>
      <c r="Y32" s="89">
        <v>2027</v>
      </c>
      <c r="Z32" s="106">
        <f>'Calcs - Price x Vol'!Z10*'Calcs - Discounted cash flows'!$E11</f>
        <v>0</v>
      </c>
      <c r="AA32" s="106">
        <f>'Calcs - Price x Vol'!AA10*'Calcs - Discounted cash flows'!$E11</f>
        <v>0</v>
      </c>
      <c r="AB32" s="107">
        <f>'Calcs - Price x Vol'!AB10*'Calcs - Discounted cash flows'!$E11</f>
        <v>0</v>
      </c>
      <c r="AE32" s="344"/>
      <c r="AF32" s="89">
        <v>2027</v>
      </c>
      <c r="AG32" s="106">
        <f>'Calcs - Price x Vol'!AG10*'Calcs - Discounted cash flows'!$E11</f>
        <v>0</v>
      </c>
      <c r="AH32" s="106">
        <f>'Calcs - Price x Vol'!AH10*'Calcs - Discounted cash flows'!$E11</f>
        <v>0</v>
      </c>
      <c r="AI32" s="107">
        <f>'Calcs - Price x Vol'!AI10*'Calcs - Discounted cash flows'!$E11</f>
        <v>0</v>
      </c>
    </row>
    <row r="33" spans="1:35" x14ac:dyDescent="0.25">
      <c r="A33" s="316"/>
      <c r="C33" s="344"/>
      <c r="D33" s="89">
        <v>2028</v>
      </c>
      <c r="E33" s="106">
        <f>'Calcs - Price x Vol'!E11*'Calcs - Discounted cash flows'!$E12</f>
        <v>0</v>
      </c>
      <c r="F33" s="106">
        <f>'Calcs - Price x Vol'!F11*'Calcs - Discounted cash flows'!$E12</f>
        <v>0</v>
      </c>
      <c r="G33" s="107">
        <f>'Calcs - Price x Vol'!G11*'Calcs - Discounted cash flows'!$E12</f>
        <v>0</v>
      </c>
      <c r="J33" s="344"/>
      <c r="K33" s="89">
        <v>2028</v>
      </c>
      <c r="L33" s="106">
        <f>'Calcs - Price x Vol'!L11*'Calcs - Discounted cash flows'!$E12</f>
        <v>0</v>
      </c>
      <c r="M33" s="106">
        <f>'Calcs - Price x Vol'!M11*'Calcs - Discounted cash flows'!$E12</f>
        <v>0</v>
      </c>
      <c r="N33" s="107">
        <f>'Calcs - Price x Vol'!N11*'Calcs - Discounted cash flows'!$E12</f>
        <v>0</v>
      </c>
      <c r="Q33" s="344"/>
      <c r="R33" s="89">
        <v>2028</v>
      </c>
      <c r="S33" s="106">
        <f>'Calcs - Price x Vol'!S11*'Calcs - Discounted cash flows'!$E12</f>
        <v>0</v>
      </c>
      <c r="T33" s="106">
        <f>'Calcs - Price x Vol'!T11*'Calcs - Discounted cash flows'!$E12</f>
        <v>0</v>
      </c>
      <c r="U33" s="107">
        <f>'Calcs - Price x Vol'!U11*'Calcs - Discounted cash flows'!$E12</f>
        <v>0</v>
      </c>
      <c r="X33" s="344"/>
      <c r="Y33" s="89">
        <v>2028</v>
      </c>
      <c r="Z33" s="106">
        <f>'Calcs - Price x Vol'!Z11*'Calcs - Discounted cash flows'!$E12</f>
        <v>0</v>
      </c>
      <c r="AA33" s="106">
        <f>'Calcs - Price x Vol'!AA11*'Calcs - Discounted cash flows'!$E12</f>
        <v>0</v>
      </c>
      <c r="AB33" s="107">
        <f>'Calcs - Price x Vol'!AB11*'Calcs - Discounted cash flows'!$E12</f>
        <v>0</v>
      </c>
      <c r="AE33" s="344"/>
      <c r="AF33" s="89">
        <v>2028</v>
      </c>
      <c r="AG33" s="106">
        <f>'Calcs - Price x Vol'!AG11*'Calcs - Discounted cash flows'!$E12</f>
        <v>0</v>
      </c>
      <c r="AH33" s="106">
        <f>'Calcs - Price x Vol'!AH11*'Calcs - Discounted cash flows'!$E12</f>
        <v>0</v>
      </c>
      <c r="AI33" s="107">
        <f>'Calcs - Price x Vol'!AI11*'Calcs - Discounted cash flows'!$E12</f>
        <v>0</v>
      </c>
    </row>
    <row r="34" spans="1:35" x14ac:dyDescent="0.25">
      <c r="A34" s="316"/>
      <c r="C34" s="344"/>
      <c r="D34" s="89">
        <v>2029</v>
      </c>
      <c r="E34" s="106">
        <f>'Calcs - Price x Vol'!E12*'Calcs - Discounted cash flows'!$E13</f>
        <v>0</v>
      </c>
      <c r="F34" s="106">
        <f>'Calcs - Price x Vol'!F12*'Calcs - Discounted cash flows'!$E13</f>
        <v>0</v>
      </c>
      <c r="G34" s="107">
        <f>'Calcs - Price x Vol'!G12*'Calcs - Discounted cash flows'!$E13</f>
        <v>0</v>
      </c>
      <c r="J34" s="344"/>
      <c r="K34" s="89">
        <v>2029</v>
      </c>
      <c r="L34" s="106">
        <f>'Calcs - Price x Vol'!L12*'Calcs - Discounted cash flows'!$E13</f>
        <v>0</v>
      </c>
      <c r="M34" s="106">
        <f>'Calcs - Price x Vol'!M12*'Calcs - Discounted cash flows'!$E13</f>
        <v>0</v>
      </c>
      <c r="N34" s="107">
        <f>'Calcs - Price x Vol'!N12*'Calcs - Discounted cash flows'!$E13</f>
        <v>0</v>
      </c>
      <c r="Q34" s="344"/>
      <c r="R34" s="89">
        <v>2029</v>
      </c>
      <c r="S34" s="106">
        <f>'Calcs - Price x Vol'!S12*'Calcs - Discounted cash flows'!$E13</f>
        <v>0</v>
      </c>
      <c r="T34" s="106">
        <f>'Calcs - Price x Vol'!T12*'Calcs - Discounted cash flows'!$E13</f>
        <v>0</v>
      </c>
      <c r="U34" s="107">
        <f>'Calcs - Price x Vol'!U12*'Calcs - Discounted cash flows'!$E13</f>
        <v>0</v>
      </c>
      <c r="X34" s="344"/>
      <c r="Y34" s="89">
        <v>2029</v>
      </c>
      <c r="Z34" s="106">
        <f>'Calcs - Price x Vol'!Z12*'Calcs - Discounted cash flows'!$E13</f>
        <v>0</v>
      </c>
      <c r="AA34" s="106">
        <f>'Calcs - Price x Vol'!AA12*'Calcs - Discounted cash flows'!$E13</f>
        <v>0</v>
      </c>
      <c r="AB34" s="107">
        <f>'Calcs - Price x Vol'!AB12*'Calcs - Discounted cash flows'!$E13</f>
        <v>0</v>
      </c>
      <c r="AE34" s="344"/>
      <c r="AF34" s="89">
        <v>2029</v>
      </c>
      <c r="AG34" s="106">
        <f>'Calcs - Price x Vol'!AG12*'Calcs - Discounted cash flows'!$E13</f>
        <v>0</v>
      </c>
      <c r="AH34" s="106">
        <f>'Calcs - Price x Vol'!AH12*'Calcs - Discounted cash flows'!$E13</f>
        <v>0</v>
      </c>
      <c r="AI34" s="107">
        <f>'Calcs - Price x Vol'!AI12*'Calcs - Discounted cash flows'!$E13</f>
        <v>0</v>
      </c>
    </row>
    <row r="35" spans="1:35" x14ac:dyDescent="0.25">
      <c r="A35" s="316"/>
      <c r="C35" s="344"/>
      <c r="D35" s="89">
        <v>2030</v>
      </c>
      <c r="E35" s="106">
        <f>'Calcs - Price x Vol'!E13*'Calcs - Discounted cash flows'!$E14</f>
        <v>0</v>
      </c>
      <c r="F35" s="106">
        <f>'Calcs - Price x Vol'!F13*'Calcs - Discounted cash flows'!$E14</f>
        <v>0</v>
      </c>
      <c r="G35" s="107">
        <f>'Calcs - Price x Vol'!G13*'Calcs - Discounted cash flows'!$E14</f>
        <v>0</v>
      </c>
      <c r="J35" s="344"/>
      <c r="K35" s="89">
        <v>2030</v>
      </c>
      <c r="L35" s="106">
        <f>'Calcs - Price x Vol'!L13*'Calcs - Discounted cash flows'!$E14</f>
        <v>0</v>
      </c>
      <c r="M35" s="106">
        <f>'Calcs - Price x Vol'!M13*'Calcs - Discounted cash flows'!$E14</f>
        <v>0</v>
      </c>
      <c r="N35" s="107">
        <f>'Calcs - Price x Vol'!N13*'Calcs - Discounted cash flows'!$E14</f>
        <v>0</v>
      </c>
      <c r="Q35" s="344"/>
      <c r="R35" s="89">
        <v>2030</v>
      </c>
      <c r="S35" s="106">
        <f>'Calcs - Price x Vol'!S13*'Calcs - Discounted cash flows'!$E14</f>
        <v>0</v>
      </c>
      <c r="T35" s="106">
        <f>'Calcs - Price x Vol'!T13*'Calcs - Discounted cash flows'!$E14</f>
        <v>0</v>
      </c>
      <c r="U35" s="107">
        <f>'Calcs - Price x Vol'!U13*'Calcs - Discounted cash flows'!$E14</f>
        <v>0</v>
      </c>
      <c r="X35" s="344"/>
      <c r="Y35" s="89">
        <v>2030</v>
      </c>
      <c r="Z35" s="106">
        <f>'Calcs - Price x Vol'!Z13*'Calcs - Discounted cash flows'!$E14</f>
        <v>0</v>
      </c>
      <c r="AA35" s="106">
        <f>'Calcs - Price x Vol'!AA13*'Calcs - Discounted cash flows'!$E14</f>
        <v>0</v>
      </c>
      <c r="AB35" s="107">
        <f>'Calcs - Price x Vol'!AB13*'Calcs - Discounted cash flows'!$E14</f>
        <v>0</v>
      </c>
      <c r="AE35" s="344"/>
      <c r="AF35" s="89">
        <v>2030</v>
      </c>
      <c r="AG35" s="106">
        <f>'Calcs - Price x Vol'!AG13*'Calcs - Discounted cash flows'!$E14</f>
        <v>0</v>
      </c>
      <c r="AH35" s="106">
        <f>'Calcs - Price x Vol'!AH13*'Calcs - Discounted cash flows'!$E14</f>
        <v>0</v>
      </c>
      <c r="AI35" s="107">
        <f>'Calcs - Price x Vol'!AI13*'Calcs - Discounted cash flows'!$E14</f>
        <v>0</v>
      </c>
    </row>
    <row r="36" spans="1:35" x14ac:dyDescent="0.25">
      <c r="A36" s="316"/>
      <c r="C36" s="344"/>
      <c r="D36" s="89">
        <v>2031</v>
      </c>
      <c r="E36" s="106">
        <f>'Calcs - Price x Vol'!E14*'Calcs - Discounted cash flows'!$E15</f>
        <v>0</v>
      </c>
      <c r="F36" s="106">
        <f>'Calcs - Price x Vol'!F14*'Calcs - Discounted cash flows'!$E15</f>
        <v>0</v>
      </c>
      <c r="G36" s="107">
        <f>'Calcs - Price x Vol'!G14*'Calcs - Discounted cash flows'!$E15</f>
        <v>0</v>
      </c>
      <c r="J36" s="344"/>
      <c r="K36" s="89">
        <v>2031</v>
      </c>
      <c r="L36" s="106">
        <f>'Calcs - Price x Vol'!L14*'Calcs - Discounted cash flows'!$E15</f>
        <v>74.708745932235857</v>
      </c>
      <c r="M36" s="106">
        <f>'Calcs - Price x Vol'!M14*'Calcs - Discounted cash flows'!$E15</f>
        <v>0</v>
      </c>
      <c r="N36" s="107">
        <f>'Calcs - Price x Vol'!N14*'Calcs - Discounted cash flows'!$E15</f>
        <v>250.03537023197418</v>
      </c>
      <c r="Q36" s="344"/>
      <c r="R36" s="89">
        <v>2031</v>
      </c>
      <c r="S36" s="106">
        <f>'Calcs - Price x Vol'!S14*'Calcs - Discounted cash flows'!$E15</f>
        <v>175.16192530824941</v>
      </c>
      <c r="T36" s="106">
        <f>'Calcs - Price x Vol'!T14*'Calcs - Discounted cash flows'!$E15</f>
        <v>0</v>
      </c>
      <c r="U36" s="107">
        <f>'Calcs - Price x Vol'!U14*'Calcs - Discounted cash flows'!$E15</f>
        <v>586.23225833183017</v>
      </c>
      <c r="X36" s="344"/>
      <c r="Y36" s="89">
        <v>2031</v>
      </c>
      <c r="Z36" s="106">
        <f>'Calcs - Price x Vol'!Z14*'Calcs - Discounted cash flows'!$E15</f>
        <v>275.6151046842632</v>
      </c>
      <c r="AA36" s="106">
        <f>'Calcs - Price x Vol'!AA14*'Calcs - Discounted cash flows'!$E15</f>
        <v>0</v>
      </c>
      <c r="AB36" s="107">
        <f>'Calcs - Price x Vol'!AB14*'Calcs - Discounted cash flows'!$E15</f>
        <v>922.42914643168683</v>
      </c>
      <c r="AE36" s="344"/>
      <c r="AF36" s="89">
        <v>2031</v>
      </c>
      <c r="AG36" s="106">
        <f>'Calcs - Price x Vol'!AG14*'Calcs - Discounted cash flows'!$E15</f>
        <v>376.06828406027677</v>
      </c>
      <c r="AH36" s="106">
        <f>'Calcs - Price x Vol'!AH14*'Calcs - Discounted cash flows'!$E15</f>
        <v>0</v>
      </c>
      <c r="AI36" s="107">
        <f>'Calcs - Price x Vol'!AI14*'Calcs - Discounted cash flows'!$E15</f>
        <v>1258.6260345315427</v>
      </c>
    </row>
    <row r="37" spans="1:35" x14ac:dyDescent="0.25">
      <c r="A37" s="316"/>
      <c r="C37" s="344"/>
      <c r="D37" s="89">
        <v>2032</v>
      </c>
      <c r="E37" s="106">
        <f>'Calcs - Price x Vol'!E15*'Calcs - Discounted cash flows'!$E16</f>
        <v>0</v>
      </c>
      <c r="F37" s="106">
        <f>'Calcs - Price x Vol'!F15*'Calcs - Discounted cash flows'!$E16</f>
        <v>0</v>
      </c>
      <c r="G37" s="107">
        <f>'Calcs - Price x Vol'!G15*'Calcs - Discounted cash flows'!$E16</f>
        <v>0</v>
      </c>
      <c r="J37" s="344"/>
      <c r="K37" s="89">
        <v>2032</v>
      </c>
      <c r="L37" s="106">
        <f>'Calcs - Price x Vol'!L15*'Calcs - Discounted cash flows'!$E16</f>
        <v>84.135111329657605</v>
      </c>
      <c r="M37" s="106">
        <f>'Calcs - Price x Vol'!M15*'Calcs - Discounted cash flows'!$E16</f>
        <v>0</v>
      </c>
      <c r="N37" s="107">
        <f>'Calcs - Price x Vol'!N15*'Calcs - Discounted cash flows'!$E16</f>
        <v>261.77898390743462</v>
      </c>
      <c r="Q37" s="344"/>
      <c r="R37" s="89">
        <v>2032</v>
      </c>
      <c r="S37" s="106">
        <f>'Calcs - Price x Vol'!S15*'Calcs - Discounted cash flows'!$E16</f>
        <v>197.26295633303886</v>
      </c>
      <c r="T37" s="106">
        <f>'Calcs - Price x Vol'!T15*'Calcs - Discounted cash flows'!$E16</f>
        <v>0</v>
      </c>
      <c r="U37" s="107">
        <f>'Calcs - Price x Vol'!U15*'Calcs - Discounted cash flows'!$E16</f>
        <v>613.76630345334456</v>
      </c>
      <c r="X37" s="344"/>
      <c r="Y37" s="89">
        <v>2032</v>
      </c>
      <c r="Z37" s="106">
        <f>'Calcs - Price x Vol'!Z15*'Calcs - Discounted cash flows'!$E16</f>
        <v>310.39080133642028</v>
      </c>
      <c r="AA37" s="106">
        <f>'Calcs - Price x Vol'!AA15*'Calcs - Discounted cash flows'!$E16</f>
        <v>0</v>
      </c>
      <c r="AB37" s="107">
        <f>'Calcs - Price x Vol'!AB15*'Calcs - Discounted cash flows'!$E16</f>
        <v>965.75362299925541</v>
      </c>
      <c r="AE37" s="344"/>
      <c r="AF37" s="89">
        <v>2032</v>
      </c>
      <c r="AG37" s="106">
        <f>'Calcs - Price x Vol'!AG15*'Calcs - Discounted cash flows'!$E16</f>
        <v>423.51864633980159</v>
      </c>
      <c r="AH37" s="106">
        <f>'Calcs - Price x Vol'!AH15*'Calcs - Discounted cash flows'!$E16</f>
        <v>0</v>
      </c>
      <c r="AI37" s="107">
        <f>'Calcs - Price x Vol'!AI15*'Calcs - Discounted cash flows'!$E16</f>
        <v>1317.7409425451654</v>
      </c>
    </row>
    <row r="38" spans="1:35" x14ac:dyDescent="0.25">
      <c r="A38" s="316"/>
      <c r="C38" s="344"/>
      <c r="D38" s="89">
        <v>2033</v>
      </c>
      <c r="E38" s="106">
        <f>'Calcs - Price x Vol'!E16*'Calcs - Discounted cash flows'!$E17</f>
        <v>0</v>
      </c>
      <c r="F38" s="106">
        <f>'Calcs - Price x Vol'!F16*'Calcs - Discounted cash flows'!$E17</f>
        <v>0</v>
      </c>
      <c r="G38" s="107">
        <f>'Calcs - Price x Vol'!G16*'Calcs - Discounted cash flows'!$E17</f>
        <v>0</v>
      </c>
      <c r="J38" s="344"/>
      <c r="K38" s="89">
        <v>2033</v>
      </c>
      <c r="L38" s="106">
        <f>'Calcs - Price x Vol'!L16*'Calcs - Discounted cash flows'!$E17</f>
        <v>94.750847041049113</v>
      </c>
      <c r="M38" s="106">
        <f>'Calcs - Price x Vol'!M16*'Calcs - Discounted cash flows'!$E17</f>
        <v>0</v>
      </c>
      <c r="N38" s="107">
        <f>'Calcs - Price x Vol'!N16*'Calcs - Discounted cash flows'!$E17</f>
        <v>274.07416939463724</v>
      </c>
      <c r="Q38" s="344"/>
      <c r="R38" s="89">
        <v>2033</v>
      </c>
      <c r="S38" s="106">
        <f>'Calcs - Price x Vol'!S16*'Calcs - Discounted cash flows'!$E17</f>
        <v>222.15258180550362</v>
      </c>
      <c r="T38" s="106">
        <f>'Calcs - Price x Vol'!T16*'Calcs - Discounted cash flows'!$E17</f>
        <v>0</v>
      </c>
      <c r="U38" s="107">
        <f>'Calcs - Price x Vol'!U16*'Calcs - Discounted cash flows'!$E17</f>
        <v>642.5935623650912</v>
      </c>
      <c r="X38" s="344"/>
      <c r="Y38" s="89">
        <v>2033</v>
      </c>
      <c r="Z38" s="106">
        <f>'Calcs - Price x Vol'!Z16*'Calcs - Discounted cash flows'!$E17</f>
        <v>349.55431656995836</v>
      </c>
      <c r="AA38" s="106">
        <f>'Calcs - Price x Vol'!AA16*'Calcs - Discounted cash flows'!$E17</f>
        <v>0</v>
      </c>
      <c r="AB38" s="107">
        <f>'Calcs - Price x Vol'!AB16*'Calcs - Discounted cash flows'!$E17</f>
        <v>1011.1129553355458</v>
      </c>
      <c r="AE38" s="344"/>
      <c r="AF38" s="89">
        <v>2033</v>
      </c>
      <c r="AG38" s="106">
        <f>'Calcs - Price x Vol'!AG16*'Calcs - Discounted cash flows'!$E17</f>
        <v>476.9560513344129</v>
      </c>
      <c r="AH38" s="106">
        <f>'Calcs - Price x Vol'!AH16*'Calcs - Discounted cash flows'!$E17</f>
        <v>0</v>
      </c>
      <c r="AI38" s="107">
        <f>'Calcs - Price x Vol'!AI16*'Calcs - Discounted cash flows'!$E17</f>
        <v>1379.6323483059998</v>
      </c>
    </row>
    <row r="39" spans="1:35" x14ac:dyDescent="0.25">
      <c r="A39" s="316"/>
      <c r="C39" s="344"/>
      <c r="D39" s="89">
        <v>2034</v>
      </c>
      <c r="E39" s="106">
        <f>'Calcs - Price x Vol'!E17*'Calcs - Discounted cash flows'!$E18</f>
        <v>0</v>
      </c>
      <c r="F39" s="106">
        <f>'Calcs - Price x Vol'!F17*'Calcs - Discounted cash flows'!$E18</f>
        <v>0</v>
      </c>
      <c r="G39" s="107">
        <f>'Calcs - Price x Vol'!G17*'Calcs - Discounted cash flows'!$E18</f>
        <v>0</v>
      </c>
      <c r="J39" s="344"/>
      <c r="K39" s="89">
        <v>2034</v>
      </c>
      <c r="L39" s="106">
        <f>'Calcs - Price x Vol'!L17*'Calcs - Discounted cash flows'!$E18</f>
        <v>106.7060216966949</v>
      </c>
      <c r="M39" s="106">
        <f>'Calcs - Price x Vol'!M17*'Calcs - Discounted cash flows'!$E18</f>
        <v>0</v>
      </c>
      <c r="N39" s="107">
        <f>'Calcs - Price x Vol'!N17*'Calcs - Discounted cash flows'!$E18</f>
        <v>286.94683281344561</v>
      </c>
      <c r="Q39" s="344"/>
      <c r="R39" s="89">
        <v>2034</v>
      </c>
      <c r="S39" s="106">
        <f>'Calcs - Price x Vol'!S17*'Calcs - Discounted cash flows'!$E18</f>
        <v>250.18265223365322</v>
      </c>
      <c r="T39" s="106">
        <f>'Calcs - Price x Vol'!T17*'Calcs - Discounted cash flows'!$E18</f>
        <v>0</v>
      </c>
      <c r="U39" s="107">
        <f>'Calcs - Price x Vol'!U17*'Calcs - Discounted cash flows'!$E18</f>
        <v>672.77477448620948</v>
      </c>
      <c r="X39" s="344"/>
      <c r="Y39" s="89">
        <v>2034</v>
      </c>
      <c r="Z39" s="106">
        <f>'Calcs - Price x Vol'!Z17*'Calcs - Discounted cash flows'!$E18</f>
        <v>393.65928277061175</v>
      </c>
      <c r="AA39" s="106">
        <f>'Calcs - Price x Vol'!AA17*'Calcs - Discounted cash flows'!$E18</f>
        <v>0</v>
      </c>
      <c r="AB39" s="107">
        <f>'Calcs - Price x Vol'!AB17*'Calcs - Discounted cash flows'!$E18</f>
        <v>1058.6027161589741</v>
      </c>
      <c r="AE39" s="344"/>
      <c r="AF39" s="89">
        <v>2034</v>
      </c>
      <c r="AG39" s="106">
        <f>'Calcs - Price x Vol'!AG17*'Calcs - Discounted cash flows'!$E18</f>
        <v>537.13591330757004</v>
      </c>
      <c r="AH39" s="106">
        <f>'Calcs - Price x Vol'!AH17*'Calcs - Discounted cash flows'!$E18</f>
        <v>0</v>
      </c>
      <c r="AI39" s="107">
        <f>'Calcs - Price x Vol'!AI17*'Calcs - Discounted cash flows'!$E18</f>
        <v>1444.430657831738</v>
      </c>
    </row>
    <row r="40" spans="1:35" x14ac:dyDescent="0.25">
      <c r="A40" s="316"/>
      <c r="C40" s="344"/>
      <c r="D40" s="90">
        <v>2035</v>
      </c>
      <c r="E40" s="106">
        <f>'Calcs - Price x Vol'!E18*'Calcs - Discounted cash flows'!$E19</f>
        <v>0</v>
      </c>
      <c r="F40" s="106">
        <f>'Calcs - Price x Vol'!F18*'Calcs - Discounted cash flows'!$E19</f>
        <v>0</v>
      </c>
      <c r="G40" s="107">
        <f>'Calcs - Price x Vol'!G18*'Calcs - Discounted cash flows'!$E19</f>
        <v>0</v>
      </c>
      <c r="J40" s="344"/>
      <c r="K40" s="90">
        <v>2035</v>
      </c>
      <c r="L40" s="106">
        <f>'Calcs - Price x Vol'!L18*'Calcs - Discounted cash flows'!$E19</f>
        <v>120.16963881497193</v>
      </c>
      <c r="M40" s="106">
        <f>'Calcs - Price x Vol'!M18*'Calcs - Discounted cash flows'!$E19</f>
        <v>0</v>
      </c>
      <c r="N40" s="107">
        <f>'Calcs - Price x Vol'!N18*'Calcs - Discounted cash flows'!$E19</f>
        <v>300.42409703742987</v>
      </c>
      <c r="Q40" s="344"/>
      <c r="R40" s="90">
        <v>2035</v>
      </c>
      <c r="S40" s="106">
        <f>'Calcs - Price x Vol'!S18*'Calcs - Discounted cash flows'!$E19</f>
        <v>281.74941281332622</v>
      </c>
      <c r="T40" s="106">
        <f>'Calcs - Price x Vol'!T18*'Calcs - Discounted cash flows'!$E19</f>
        <v>0</v>
      </c>
      <c r="U40" s="107">
        <f>'Calcs - Price x Vol'!U18*'Calcs - Discounted cash flows'!$E19</f>
        <v>704.37353203331566</v>
      </c>
      <c r="X40" s="344"/>
      <c r="Y40" s="90">
        <v>2035</v>
      </c>
      <c r="Z40" s="106">
        <f>'Calcs - Price x Vol'!Z18*'Calcs - Discounted cash flows'!$E19</f>
        <v>443.32918681168081</v>
      </c>
      <c r="AA40" s="106">
        <f>'Calcs - Price x Vol'!AA18*'Calcs - Discounted cash flows'!$E19</f>
        <v>0</v>
      </c>
      <c r="AB40" s="107">
        <f>'Calcs - Price x Vol'!AB18*'Calcs - Discounted cash flows'!$E19</f>
        <v>1108.3229670292023</v>
      </c>
      <c r="AE40" s="344"/>
      <c r="AF40" s="90">
        <v>2035</v>
      </c>
      <c r="AG40" s="106">
        <f>'Calcs - Price x Vol'!AG18*'Calcs - Discounted cash flows'!$E19</f>
        <v>604.90896081003507</v>
      </c>
      <c r="AH40" s="106">
        <f>'Calcs - Price x Vol'!AH18*'Calcs - Discounted cash flows'!$E19</f>
        <v>0</v>
      </c>
      <c r="AI40" s="107">
        <f>'Calcs - Price x Vol'!AI18*'Calcs - Discounted cash flows'!$E19</f>
        <v>1512.272402025088</v>
      </c>
    </row>
    <row r="41" spans="1:35" x14ac:dyDescent="0.25">
      <c r="A41" s="316"/>
      <c r="C41" s="345"/>
      <c r="D41" s="254" t="s">
        <v>193</v>
      </c>
      <c r="E41" s="102">
        <f>SUM(E29:E40)</f>
        <v>0</v>
      </c>
      <c r="F41" s="102" t="e">
        <f>SUM(F29:F40)</f>
        <v>#VALUE!</v>
      </c>
      <c r="G41" s="103">
        <f>SUM(G29:G40)</f>
        <v>0</v>
      </c>
      <c r="H41" s="68" t="s">
        <v>204</v>
      </c>
      <c r="I41" s="69"/>
      <c r="J41" s="345"/>
      <c r="K41" s="254" t="s">
        <v>193</v>
      </c>
      <c r="L41" s="102">
        <f>SUM(L29:L40)</f>
        <v>480.47036481460941</v>
      </c>
      <c r="M41" s="102" t="e">
        <f>SUM(M29:M40)</f>
        <v>#VALUE!</v>
      </c>
      <c r="N41" s="103">
        <f>SUM(N29:N40)</f>
        <v>1373.2594533849215</v>
      </c>
      <c r="Q41" s="345"/>
      <c r="R41" s="254" t="s">
        <v>193</v>
      </c>
      <c r="S41" s="102">
        <f>SUM(S29:S40)</f>
        <v>1126.5095284937713</v>
      </c>
      <c r="T41" s="102" t="e">
        <f>SUM(T29:T40)</f>
        <v>#VALUE!</v>
      </c>
      <c r="U41" s="103">
        <f>SUM(U29:U40)</f>
        <v>3219.7404306697913</v>
      </c>
      <c r="X41" s="345"/>
      <c r="Y41" s="254" t="s">
        <v>193</v>
      </c>
      <c r="Z41" s="102">
        <f>SUM(Z29:Z40)</f>
        <v>1772.5486921729344</v>
      </c>
      <c r="AA41" s="102" t="e">
        <f>SUM(AA29:AA40)</f>
        <v>#VALUE!</v>
      </c>
      <c r="AB41" s="103">
        <f>SUM(AB29:AB40)</f>
        <v>5066.2214079546648</v>
      </c>
      <c r="AE41" s="345"/>
      <c r="AF41" s="254" t="s">
        <v>193</v>
      </c>
      <c r="AG41" s="102">
        <f>SUM(AG29:AG40)</f>
        <v>2418.5878558520963</v>
      </c>
      <c r="AH41" s="102" t="e">
        <f>SUM(AH29:AH40)</f>
        <v>#VALUE!</v>
      </c>
      <c r="AI41" s="103">
        <f>SUM(AI29:AI40)</f>
        <v>6912.7023852395341</v>
      </c>
    </row>
    <row r="42" spans="1:35" x14ac:dyDescent="0.25">
      <c r="A42" s="316"/>
      <c r="H42" s="15"/>
    </row>
    <row r="43" spans="1:35" ht="30" x14ac:dyDescent="0.25">
      <c r="A43" s="316"/>
      <c r="C43" s="331" t="s">
        <v>146</v>
      </c>
      <c r="D43" s="253" t="s">
        <v>60</v>
      </c>
      <c r="E43" s="183" t="str">
        <f>Inputs!$C$52</f>
        <v>IEA - Emerging and developed economies</v>
      </c>
      <c r="F43" s="183" t="s">
        <v>192</v>
      </c>
      <c r="G43" s="247" t="str">
        <f>Inputs!$C$50</f>
        <v>IEA - Selected EMDE with net zero targets scenario</v>
      </c>
      <c r="H43" s="15"/>
      <c r="J43" s="346" t="s">
        <v>146</v>
      </c>
      <c r="K43" s="253" t="s">
        <v>60</v>
      </c>
      <c r="L43" s="183" t="str">
        <f>Inputs!$C$52</f>
        <v>IEA - Emerging and developed economies</v>
      </c>
      <c r="M43" s="183" t="s">
        <v>192</v>
      </c>
      <c r="N43" s="247" t="str">
        <f>Inputs!$C$50</f>
        <v>IEA - Selected EMDE with net zero targets scenario</v>
      </c>
      <c r="Q43" s="346" t="s">
        <v>146</v>
      </c>
      <c r="R43" s="253" t="s">
        <v>60</v>
      </c>
      <c r="S43" s="183" t="str">
        <f>Inputs!$C$52</f>
        <v>IEA - Emerging and developed economies</v>
      </c>
      <c r="T43" s="183" t="s">
        <v>192</v>
      </c>
      <c r="U43" s="247" t="str">
        <f>Inputs!$C$50</f>
        <v>IEA - Selected EMDE with net zero targets scenario</v>
      </c>
      <c r="X43" s="346" t="s">
        <v>146</v>
      </c>
      <c r="Y43" s="253" t="s">
        <v>60</v>
      </c>
      <c r="Z43" s="183" t="str">
        <f>Inputs!$C$52</f>
        <v>IEA - Emerging and developed economies</v>
      </c>
      <c r="AA43" s="183" t="s">
        <v>192</v>
      </c>
      <c r="AB43" s="247" t="str">
        <f>Inputs!$C$50</f>
        <v>IEA - Selected EMDE with net zero targets scenario</v>
      </c>
      <c r="AE43" s="346" t="s">
        <v>146</v>
      </c>
      <c r="AF43" s="253" t="s">
        <v>60</v>
      </c>
      <c r="AG43" s="183" t="str">
        <f>Inputs!$C$52</f>
        <v>IEA - Emerging and developed economies</v>
      </c>
      <c r="AH43" s="183" t="s">
        <v>192</v>
      </c>
      <c r="AI43" s="247" t="str">
        <f>Inputs!$C$50</f>
        <v>IEA - Selected EMDE with net zero targets scenario</v>
      </c>
    </row>
    <row r="44" spans="1:35" x14ac:dyDescent="0.25">
      <c r="A44" s="316"/>
      <c r="C44" s="332"/>
      <c r="D44" s="124">
        <v>2024</v>
      </c>
      <c r="E44" s="104">
        <f>'Calcs - Price x Vol'!E22*'Calcs - Discounted cash flows'!$E8</f>
        <v>0</v>
      </c>
      <c r="F44" s="104" t="e">
        <f>'Calcs - Price x Vol'!F22*'Calcs - Discounted cash flows'!$E8</f>
        <v>#VALUE!</v>
      </c>
      <c r="G44" s="105">
        <f>'Calcs - Price x Vol'!G22*'Calcs - Discounted cash flows'!$E8</f>
        <v>0</v>
      </c>
      <c r="H44" s="15"/>
      <c r="J44" s="347"/>
      <c r="K44" s="124">
        <v>2024</v>
      </c>
      <c r="L44" s="104">
        <f>'Calcs - Price x Vol'!L22*'Calcs - Discounted cash flows'!$E8</f>
        <v>0</v>
      </c>
      <c r="M44" s="104" t="e">
        <f>'Calcs - Price x Vol'!M22*'Calcs - Discounted cash flows'!$E8</f>
        <v>#VALUE!</v>
      </c>
      <c r="N44" s="105">
        <f>'Calcs - Price x Vol'!N22*'Calcs - Discounted cash flows'!$E8</f>
        <v>0</v>
      </c>
      <c r="Q44" s="347"/>
      <c r="R44" s="124">
        <v>2024</v>
      </c>
      <c r="S44" s="104">
        <f>'Calcs - Price x Vol'!S22*'Calcs - Discounted cash flows'!$E8</f>
        <v>0</v>
      </c>
      <c r="T44" s="104" t="e">
        <f>'Calcs - Price x Vol'!T22*'Calcs - Discounted cash flows'!$E8</f>
        <v>#VALUE!</v>
      </c>
      <c r="U44" s="105">
        <f>'Calcs - Price x Vol'!U22*'Calcs - Discounted cash flows'!$E8</f>
        <v>0</v>
      </c>
      <c r="X44" s="347"/>
      <c r="Y44" s="124">
        <v>2024</v>
      </c>
      <c r="Z44" s="104">
        <f>'Calcs - Price x Vol'!Z22*'Calcs - Discounted cash flows'!$E8</f>
        <v>0</v>
      </c>
      <c r="AA44" s="104" t="e">
        <f>'Calcs - Price x Vol'!AA22*'Calcs - Discounted cash flows'!$E8</f>
        <v>#VALUE!</v>
      </c>
      <c r="AB44" s="105">
        <f>'Calcs - Price x Vol'!AB22*'Calcs - Discounted cash flows'!$E8</f>
        <v>0</v>
      </c>
      <c r="AE44" s="347"/>
      <c r="AF44" s="124">
        <v>2024</v>
      </c>
      <c r="AG44" s="104">
        <f>'Calcs - Price x Vol'!AG22*'Calcs - Discounted cash flows'!$E8</f>
        <v>0</v>
      </c>
      <c r="AH44" s="104" t="e">
        <f>'Calcs - Price x Vol'!AH22*'Calcs - Discounted cash flows'!$E8</f>
        <v>#VALUE!</v>
      </c>
      <c r="AI44" s="105">
        <f>'Calcs - Price x Vol'!AI22*'Calcs - Discounted cash flows'!$E8</f>
        <v>0</v>
      </c>
    </row>
    <row r="45" spans="1:35" x14ac:dyDescent="0.25">
      <c r="A45" s="316"/>
      <c r="C45" s="332"/>
      <c r="D45" s="89">
        <v>2025</v>
      </c>
      <c r="E45" s="106">
        <f>'Calcs - Price x Vol'!E23*'Calcs - Discounted cash flows'!$E9</f>
        <v>0</v>
      </c>
      <c r="F45" s="106">
        <f>'Calcs - Price x Vol'!F23*'Calcs - Discounted cash flows'!$E9</f>
        <v>0</v>
      </c>
      <c r="G45" s="107">
        <f>'Calcs - Price x Vol'!G23*'Calcs - Discounted cash flows'!$E9</f>
        <v>0</v>
      </c>
      <c r="H45" s="15"/>
      <c r="J45" s="347"/>
      <c r="K45" s="89">
        <v>2025</v>
      </c>
      <c r="L45" s="106">
        <f>'Calcs - Price x Vol'!L23*'Calcs - Discounted cash flows'!$E9</f>
        <v>0</v>
      </c>
      <c r="M45" s="106">
        <f>'Calcs - Price x Vol'!M23*'Calcs - Discounted cash flows'!$E9</f>
        <v>0</v>
      </c>
      <c r="N45" s="107">
        <f>'Calcs - Price x Vol'!N23*'Calcs - Discounted cash flows'!$E9</f>
        <v>0</v>
      </c>
      <c r="Q45" s="347"/>
      <c r="R45" s="89">
        <v>2025</v>
      </c>
      <c r="S45" s="106">
        <f>'Calcs - Price x Vol'!S23*'Calcs - Discounted cash flows'!$E9</f>
        <v>0</v>
      </c>
      <c r="T45" s="106">
        <f>'Calcs - Price x Vol'!T23*'Calcs - Discounted cash flows'!$E9</f>
        <v>0</v>
      </c>
      <c r="U45" s="107">
        <f>'Calcs - Price x Vol'!U23*'Calcs - Discounted cash flows'!$E9</f>
        <v>0</v>
      </c>
      <c r="X45" s="347"/>
      <c r="Y45" s="89">
        <v>2025</v>
      </c>
      <c r="Z45" s="106">
        <f>'Calcs - Price x Vol'!Z23*'Calcs - Discounted cash flows'!$E9</f>
        <v>0</v>
      </c>
      <c r="AA45" s="106">
        <f>'Calcs - Price x Vol'!AA23*'Calcs - Discounted cash flows'!$E9</f>
        <v>0</v>
      </c>
      <c r="AB45" s="107">
        <f>'Calcs - Price x Vol'!AB23*'Calcs - Discounted cash flows'!$E9</f>
        <v>0</v>
      </c>
      <c r="AE45" s="347"/>
      <c r="AF45" s="89">
        <v>2025</v>
      </c>
      <c r="AG45" s="106">
        <f>'Calcs - Price x Vol'!AG23*'Calcs - Discounted cash flows'!$E9</f>
        <v>0</v>
      </c>
      <c r="AH45" s="106">
        <f>'Calcs - Price x Vol'!AH23*'Calcs - Discounted cash flows'!$E9</f>
        <v>0</v>
      </c>
      <c r="AI45" s="107">
        <f>'Calcs - Price x Vol'!AI23*'Calcs - Discounted cash flows'!$E9</f>
        <v>0</v>
      </c>
    </row>
    <row r="46" spans="1:35" x14ac:dyDescent="0.25">
      <c r="A46" s="316"/>
      <c r="C46" s="332"/>
      <c r="D46" s="89">
        <v>2026</v>
      </c>
      <c r="E46" s="106">
        <f>'Calcs - Price x Vol'!E24*'Calcs - Discounted cash flows'!$E10</f>
        <v>0</v>
      </c>
      <c r="F46" s="106">
        <f>'Calcs - Price x Vol'!F24*'Calcs - Discounted cash flows'!$E10</f>
        <v>0</v>
      </c>
      <c r="G46" s="107">
        <f>'Calcs - Price x Vol'!G24*'Calcs - Discounted cash flows'!$E10</f>
        <v>0</v>
      </c>
      <c r="H46" s="15"/>
      <c r="J46" s="347"/>
      <c r="K46" s="89">
        <v>2026</v>
      </c>
      <c r="L46" s="106">
        <f>'Calcs - Price x Vol'!L24*'Calcs - Discounted cash flows'!$E10</f>
        <v>0</v>
      </c>
      <c r="M46" s="106">
        <f>'Calcs - Price x Vol'!M24*'Calcs - Discounted cash flows'!$E10</f>
        <v>0</v>
      </c>
      <c r="N46" s="107">
        <f>'Calcs - Price x Vol'!N24*'Calcs - Discounted cash flows'!$E10</f>
        <v>0</v>
      </c>
      <c r="Q46" s="347"/>
      <c r="R46" s="89">
        <v>2026</v>
      </c>
      <c r="S46" s="106">
        <f>'Calcs - Price x Vol'!S24*'Calcs - Discounted cash flows'!$E10</f>
        <v>0</v>
      </c>
      <c r="T46" s="106">
        <f>'Calcs - Price x Vol'!T24*'Calcs - Discounted cash flows'!$E10</f>
        <v>0</v>
      </c>
      <c r="U46" s="107">
        <f>'Calcs - Price x Vol'!U24*'Calcs - Discounted cash flows'!$E10</f>
        <v>0</v>
      </c>
      <c r="X46" s="347"/>
      <c r="Y46" s="89">
        <v>2026</v>
      </c>
      <c r="Z46" s="106">
        <f>'Calcs - Price x Vol'!Z24*'Calcs - Discounted cash flows'!$E10</f>
        <v>0</v>
      </c>
      <c r="AA46" s="106">
        <f>'Calcs - Price x Vol'!AA24*'Calcs - Discounted cash flows'!$E10</f>
        <v>0</v>
      </c>
      <c r="AB46" s="107">
        <f>'Calcs - Price x Vol'!AB24*'Calcs - Discounted cash flows'!$E10</f>
        <v>0</v>
      </c>
      <c r="AE46" s="347"/>
      <c r="AF46" s="89">
        <v>2026</v>
      </c>
      <c r="AG46" s="106">
        <f>'Calcs - Price x Vol'!AG24*'Calcs - Discounted cash flows'!$E10</f>
        <v>0</v>
      </c>
      <c r="AH46" s="106">
        <f>'Calcs - Price x Vol'!AH24*'Calcs - Discounted cash flows'!$E10</f>
        <v>0</v>
      </c>
      <c r="AI46" s="107">
        <f>'Calcs - Price x Vol'!AI24*'Calcs - Discounted cash flows'!$E10</f>
        <v>0</v>
      </c>
    </row>
    <row r="47" spans="1:35" x14ac:dyDescent="0.25">
      <c r="A47" s="316"/>
      <c r="C47" s="332"/>
      <c r="D47" s="89">
        <v>2027</v>
      </c>
      <c r="E47" s="106">
        <f>'Calcs - Price x Vol'!E25*'Calcs - Discounted cash flows'!$E11</f>
        <v>0</v>
      </c>
      <c r="F47" s="106">
        <f>'Calcs - Price x Vol'!F25*'Calcs - Discounted cash flows'!$E11</f>
        <v>0</v>
      </c>
      <c r="G47" s="107">
        <f>'Calcs - Price x Vol'!G25*'Calcs - Discounted cash flows'!$E11</f>
        <v>0</v>
      </c>
      <c r="H47" s="15"/>
      <c r="J47" s="347"/>
      <c r="K47" s="89">
        <v>2027</v>
      </c>
      <c r="L47" s="106">
        <f>'Calcs - Price x Vol'!L25*'Calcs - Discounted cash flows'!$E11</f>
        <v>0</v>
      </c>
      <c r="M47" s="106">
        <f>'Calcs - Price x Vol'!M25*'Calcs - Discounted cash flows'!$E11</f>
        <v>0</v>
      </c>
      <c r="N47" s="107">
        <f>'Calcs - Price x Vol'!N25*'Calcs - Discounted cash flows'!$E11</f>
        <v>0</v>
      </c>
      <c r="Q47" s="347"/>
      <c r="R47" s="89">
        <v>2027</v>
      </c>
      <c r="S47" s="106">
        <f>'Calcs - Price x Vol'!S25*'Calcs - Discounted cash flows'!$E11</f>
        <v>0</v>
      </c>
      <c r="T47" s="106">
        <f>'Calcs - Price x Vol'!T25*'Calcs - Discounted cash flows'!$E11</f>
        <v>0</v>
      </c>
      <c r="U47" s="107">
        <f>'Calcs - Price x Vol'!U25*'Calcs - Discounted cash flows'!$E11</f>
        <v>0</v>
      </c>
      <c r="X47" s="347"/>
      <c r="Y47" s="89">
        <v>2027</v>
      </c>
      <c r="Z47" s="106">
        <f>'Calcs - Price x Vol'!Z25*'Calcs - Discounted cash flows'!$E11</f>
        <v>0</v>
      </c>
      <c r="AA47" s="106">
        <f>'Calcs - Price x Vol'!AA25*'Calcs - Discounted cash flows'!$E11</f>
        <v>0</v>
      </c>
      <c r="AB47" s="107">
        <f>'Calcs - Price x Vol'!AB25*'Calcs - Discounted cash flows'!$E11</f>
        <v>0</v>
      </c>
      <c r="AE47" s="347"/>
      <c r="AF47" s="89">
        <v>2027</v>
      </c>
      <c r="AG47" s="106">
        <f>'Calcs - Price x Vol'!AG25*'Calcs - Discounted cash flows'!$E11</f>
        <v>0</v>
      </c>
      <c r="AH47" s="106">
        <f>'Calcs - Price x Vol'!AH25*'Calcs - Discounted cash flows'!$E11</f>
        <v>0</v>
      </c>
      <c r="AI47" s="107">
        <f>'Calcs - Price x Vol'!AI25*'Calcs - Discounted cash flows'!$E11</f>
        <v>0</v>
      </c>
    </row>
    <row r="48" spans="1:35" x14ac:dyDescent="0.25">
      <c r="A48" s="316"/>
      <c r="C48" s="332"/>
      <c r="D48" s="89">
        <v>2028</v>
      </c>
      <c r="E48" s="106">
        <f>'Calcs - Price x Vol'!E26*'Calcs - Discounted cash flows'!$E12</f>
        <v>0</v>
      </c>
      <c r="F48" s="106">
        <f>'Calcs - Price x Vol'!F26*'Calcs - Discounted cash flows'!$E12</f>
        <v>0</v>
      </c>
      <c r="G48" s="107">
        <f>'Calcs - Price x Vol'!G26*'Calcs - Discounted cash flows'!$E12</f>
        <v>0</v>
      </c>
      <c r="H48" s="15"/>
      <c r="J48" s="347"/>
      <c r="K48" s="89">
        <v>2028</v>
      </c>
      <c r="L48" s="106">
        <f>'Calcs - Price x Vol'!L26*'Calcs - Discounted cash flows'!$E12</f>
        <v>0</v>
      </c>
      <c r="M48" s="106">
        <f>'Calcs - Price x Vol'!M26*'Calcs - Discounted cash flows'!$E12</f>
        <v>0</v>
      </c>
      <c r="N48" s="107">
        <f>'Calcs - Price x Vol'!N26*'Calcs - Discounted cash flows'!$E12</f>
        <v>0</v>
      </c>
      <c r="Q48" s="347"/>
      <c r="R48" s="89">
        <v>2028</v>
      </c>
      <c r="S48" s="106">
        <f>'Calcs - Price x Vol'!S26*'Calcs - Discounted cash flows'!$E12</f>
        <v>0</v>
      </c>
      <c r="T48" s="106">
        <f>'Calcs - Price x Vol'!T26*'Calcs - Discounted cash flows'!$E12</f>
        <v>0</v>
      </c>
      <c r="U48" s="107">
        <f>'Calcs - Price x Vol'!U26*'Calcs - Discounted cash flows'!$E12</f>
        <v>0</v>
      </c>
      <c r="X48" s="347"/>
      <c r="Y48" s="89">
        <v>2028</v>
      </c>
      <c r="Z48" s="106">
        <f>'Calcs - Price x Vol'!Z26*'Calcs - Discounted cash flows'!$E12</f>
        <v>0</v>
      </c>
      <c r="AA48" s="106">
        <f>'Calcs - Price x Vol'!AA26*'Calcs - Discounted cash flows'!$E12</f>
        <v>0</v>
      </c>
      <c r="AB48" s="107">
        <f>'Calcs - Price x Vol'!AB26*'Calcs - Discounted cash flows'!$E12</f>
        <v>0</v>
      </c>
      <c r="AE48" s="347"/>
      <c r="AF48" s="89">
        <v>2028</v>
      </c>
      <c r="AG48" s="106">
        <f>'Calcs - Price x Vol'!AG26*'Calcs - Discounted cash flows'!$E12</f>
        <v>0</v>
      </c>
      <c r="AH48" s="106">
        <f>'Calcs - Price x Vol'!AH26*'Calcs - Discounted cash flows'!$E12</f>
        <v>0</v>
      </c>
      <c r="AI48" s="107">
        <f>'Calcs - Price x Vol'!AI26*'Calcs - Discounted cash flows'!$E12</f>
        <v>0</v>
      </c>
    </row>
    <row r="49" spans="1:35" x14ac:dyDescent="0.25">
      <c r="A49" s="316"/>
      <c r="C49" s="332"/>
      <c r="D49" s="89">
        <v>2029</v>
      </c>
      <c r="E49" s="106">
        <f>'Calcs - Price x Vol'!E27*'Calcs - Discounted cash flows'!$E13</f>
        <v>0</v>
      </c>
      <c r="F49" s="106">
        <f>'Calcs - Price x Vol'!F27*'Calcs - Discounted cash flows'!$E13</f>
        <v>0</v>
      </c>
      <c r="G49" s="107">
        <f>'Calcs - Price x Vol'!G27*'Calcs - Discounted cash flows'!$E13</f>
        <v>0</v>
      </c>
      <c r="H49" s="15"/>
      <c r="J49" s="347"/>
      <c r="K49" s="89">
        <v>2029</v>
      </c>
      <c r="L49" s="106">
        <f>'Calcs - Price x Vol'!L27*'Calcs - Discounted cash flows'!$E13</f>
        <v>0</v>
      </c>
      <c r="M49" s="106">
        <f>'Calcs - Price x Vol'!M27*'Calcs - Discounted cash flows'!$E13</f>
        <v>0</v>
      </c>
      <c r="N49" s="107">
        <f>'Calcs - Price x Vol'!N27*'Calcs - Discounted cash flows'!$E13</f>
        <v>0</v>
      </c>
      <c r="Q49" s="347"/>
      <c r="R49" s="89">
        <v>2029</v>
      </c>
      <c r="S49" s="106">
        <f>'Calcs - Price x Vol'!S27*'Calcs - Discounted cash flows'!$E13</f>
        <v>0</v>
      </c>
      <c r="T49" s="106">
        <f>'Calcs - Price x Vol'!T27*'Calcs - Discounted cash flows'!$E13</f>
        <v>0</v>
      </c>
      <c r="U49" s="107">
        <f>'Calcs - Price x Vol'!U27*'Calcs - Discounted cash flows'!$E13</f>
        <v>0</v>
      </c>
      <c r="X49" s="347"/>
      <c r="Y49" s="89">
        <v>2029</v>
      </c>
      <c r="Z49" s="106">
        <f>'Calcs - Price x Vol'!Z27*'Calcs - Discounted cash flows'!$E13</f>
        <v>0</v>
      </c>
      <c r="AA49" s="106">
        <f>'Calcs - Price x Vol'!AA27*'Calcs - Discounted cash flows'!$E13</f>
        <v>0</v>
      </c>
      <c r="AB49" s="107">
        <f>'Calcs - Price x Vol'!AB27*'Calcs - Discounted cash flows'!$E13</f>
        <v>0</v>
      </c>
      <c r="AE49" s="347"/>
      <c r="AF49" s="89">
        <v>2029</v>
      </c>
      <c r="AG49" s="106">
        <f>'Calcs - Price x Vol'!AG27*'Calcs - Discounted cash flows'!$E13</f>
        <v>0</v>
      </c>
      <c r="AH49" s="106">
        <f>'Calcs - Price x Vol'!AH27*'Calcs - Discounted cash flows'!$E13</f>
        <v>0</v>
      </c>
      <c r="AI49" s="107">
        <f>'Calcs - Price x Vol'!AI27*'Calcs - Discounted cash flows'!$E13</f>
        <v>0</v>
      </c>
    </row>
    <row r="50" spans="1:35" x14ac:dyDescent="0.25">
      <c r="A50" s="316"/>
      <c r="C50" s="332"/>
      <c r="D50" s="89">
        <v>2030</v>
      </c>
      <c r="E50" s="106">
        <f>'Calcs - Price x Vol'!E28*'Calcs - Discounted cash flows'!$E14</f>
        <v>0</v>
      </c>
      <c r="F50" s="106">
        <f>'Calcs - Price x Vol'!F28*'Calcs - Discounted cash flows'!$E14</f>
        <v>0</v>
      </c>
      <c r="G50" s="107">
        <f>'Calcs - Price x Vol'!G28*'Calcs - Discounted cash flows'!$E14</f>
        <v>0</v>
      </c>
      <c r="H50" s="15"/>
      <c r="J50" s="347"/>
      <c r="K50" s="89">
        <v>2030</v>
      </c>
      <c r="L50" s="106">
        <f>'Calcs - Price x Vol'!L28*'Calcs - Discounted cash flows'!$E14</f>
        <v>0</v>
      </c>
      <c r="M50" s="106">
        <f>'Calcs - Price x Vol'!M28*'Calcs - Discounted cash flows'!$E14</f>
        <v>0</v>
      </c>
      <c r="N50" s="107">
        <f>'Calcs - Price x Vol'!N28*'Calcs - Discounted cash flows'!$E14</f>
        <v>0</v>
      </c>
      <c r="Q50" s="347"/>
      <c r="R50" s="89">
        <v>2030</v>
      </c>
      <c r="S50" s="106">
        <f>'Calcs - Price x Vol'!S28*'Calcs - Discounted cash flows'!$E14</f>
        <v>0</v>
      </c>
      <c r="T50" s="106">
        <f>'Calcs - Price x Vol'!T28*'Calcs - Discounted cash flows'!$E14</f>
        <v>0</v>
      </c>
      <c r="U50" s="107">
        <f>'Calcs - Price x Vol'!U28*'Calcs - Discounted cash flows'!$E14</f>
        <v>0</v>
      </c>
      <c r="X50" s="347"/>
      <c r="Y50" s="89">
        <v>2030</v>
      </c>
      <c r="Z50" s="106">
        <f>'Calcs - Price x Vol'!Z28*'Calcs - Discounted cash flows'!$E14</f>
        <v>0</v>
      </c>
      <c r="AA50" s="106">
        <f>'Calcs - Price x Vol'!AA28*'Calcs - Discounted cash flows'!$E14</f>
        <v>0</v>
      </c>
      <c r="AB50" s="107">
        <f>'Calcs - Price x Vol'!AB28*'Calcs - Discounted cash flows'!$E14</f>
        <v>0</v>
      </c>
      <c r="AE50" s="347"/>
      <c r="AF50" s="89">
        <v>2030</v>
      </c>
      <c r="AG50" s="106">
        <f>'Calcs - Price x Vol'!AG28*'Calcs - Discounted cash flows'!$E14</f>
        <v>0</v>
      </c>
      <c r="AH50" s="106">
        <f>'Calcs - Price x Vol'!AH28*'Calcs - Discounted cash flows'!$E14</f>
        <v>0</v>
      </c>
      <c r="AI50" s="107">
        <f>'Calcs - Price x Vol'!AI28*'Calcs - Discounted cash flows'!$E14</f>
        <v>0</v>
      </c>
    </row>
    <row r="51" spans="1:35" x14ac:dyDescent="0.25">
      <c r="A51" s="316"/>
      <c r="C51" s="332"/>
      <c r="D51" s="89">
        <v>2031</v>
      </c>
      <c r="E51" s="106">
        <f>'Calcs - Price x Vol'!E29*'Calcs - Discounted cash flows'!$E15</f>
        <v>0</v>
      </c>
      <c r="F51" s="106">
        <f>'Calcs - Price x Vol'!F29*'Calcs - Discounted cash flows'!$E15</f>
        <v>0</v>
      </c>
      <c r="G51" s="107">
        <f>'Calcs - Price x Vol'!G29*'Calcs - Discounted cash flows'!$E15</f>
        <v>0</v>
      </c>
      <c r="H51" s="15"/>
      <c r="J51" s="347"/>
      <c r="K51" s="89">
        <v>2031</v>
      </c>
      <c r="L51" s="106">
        <f>'Calcs - Price x Vol'!L29*'Calcs - Discounted cash flows'!$E15</f>
        <v>74.708745932235857</v>
      </c>
      <c r="M51" s="106">
        <f>'Calcs - Price x Vol'!M29*'Calcs - Discounted cash flows'!$E15</f>
        <v>0</v>
      </c>
      <c r="N51" s="107">
        <f>'Calcs - Price x Vol'!N29*'Calcs - Discounted cash flows'!$E15</f>
        <v>250.03537023197418</v>
      </c>
      <c r="Q51" s="347"/>
      <c r="R51" s="89">
        <v>2031</v>
      </c>
      <c r="S51" s="106">
        <f>'Calcs - Price x Vol'!S29*'Calcs - Discounted cash flows'!$E15</f>
        <v>175.16192530824941</v>
      </c>
      <c r="T51" s="106">
        <f>'Calcs - Price x Vol'!T29*'Calcs - Discounted cash flows'!$E15</f>
        <v>0</v>
      </c>
      <c r="U51" s="107">
        <f>'Calcs - Price x Vol'!U29*'Calcs - Discounted cash flows'!$E15</f>
        <v>586.23225833183017</v>
      </c>
      <c r="X51" s="347"/>
      <c r="Y51" s="89">
        <v>2031</v>
      </c>
      <c r="Z51" s="106">
        <f>'Calcs - Price x Vol'!Z29*'Calcs - Discounted cash flows'!$E15</f>
        <v>275.6151046842632</v>
      </c>
      <c r="AA51" s="106">
        <f>'Calcs - Price x Vol'!AA29*'Calcs - Discounted cash flows'!$E15</f>
        <v>0</v>
      </c>
      <c r="AB51" s="107">
        <f>'Calcs - Price x Vol'!AB29*'Calcs - Discounted cash flows'!$E15</f>
        <v>922.42914643168683</v>
      </c>
      <c r="AE51" s="347"/>
      <c r="AF51" s="89">
        <v>2031</v>
      </c>
      <c r="AG51" s="106">
        <f>'Calcs - Price x Vol'!AG29*'Calcs - Discounted cash flows'!$E15</f>
        <v>376.06828406027677</v>
      </c>
      <c r="AH51" s="106">
        <f>'Calcs - Price x Vol'!AH29*'Calcs - Discounted cash flows'!$E15</f>
        <v>0</v>
      </c>
      <c r="AI51" s="107">
        <f>'Calcs - Price x Vol'!AI29*'Calcs - Discounted cash flows'!$E15</f>
        <v>1258.6260345315427</v>
      </c>
    </row>
    <row r="52" spans="1:35" x14ac:dyDescent="0.25">
      <c r="A52" s="316"/>
      <c r="C52" s="332"/>
      <c r="D52" s="89">
        <v>2032</v>
      </c>
      <c r="E52" s="106">
        <f>'Calcs - Price x Vol'!E30*'Calcs - Discounted cash flows'!$E16</f>
        <v>0</v>
      </c>
      <c r="F52" s="106">
        <f>'Calcs - Price x Vol'!F30*'Calcs - Discounted cash flows'!$E16</f>
        <v>0</v>
      </c>
      <c r="G52" s="107">
        <f>'Calcs - Price x Vol'!G30*'Calcs - Discounted cash flows'!$E16</f>
        <v>0</v>
      </c>
      <c r="H52" s="15"/>
      <c r="J52" s="347"/>
      <c r="K52" s="89">
        <v>2032</v>
      </c>
      <c r="L52" s="106">
        <f>'Calcs - Price x Vol'!L30*'Calcs - Discounted cash flows'!$E16</f>
        <v>84.135111329657605</v>
      </c>
      <c r="M52" s="106">
        <f>'Calcs - Price x Vol'!M30*'Calcs - Discounted cash flows'!$E16</f>
        <v>0</v>
      </c>
      <c r="N52" s="107">
        <f>'Calcs - Price x Vol'!N30*'Calcs - Discounted cash flows'!$E16</f>
        <v>261.77898390743462</v>
      </c>
      <c r="Q52" s="347"/>
      <c r="R52" s="89">
        <v>2032</v>
      </c>
      <c r="S52" s="106">
        <f>'Calcs - Price x Vol'!S30*'Calcs - Discounted cash flows'!$E16</f>
        <v>197.26295633303886</v>
      </c>
      <c r="T52" s="106">
        <f>'Calcs - Price x Vol'!T30*'Calcs - Discounted cash flows'!$E16</f>
        <v>0</v>
      </c>
      <c r="U52" s="107">
        <f>'Calcs - Price x Vol'!U30*'Calcs - Discounted cash flows'!$E16</f>
        <v>613.76630345334456</v>
      </c>
      <c r="X52" s="347"/>
      <c r="Y52" s="89">
        <v>2032</v>
      </c>
      <c r="Z52" s="106">
        <f>'Calcs - Price x Vol'!Z30*'Calcs - Discounted cash flows'!$E16</f>
        <v>310.39080133642028</v>
      </c>
      <c r="AA52" s="106">
        <f>'Calcs - Price x Vol'!AA30*'Calcs - Discounted cash flows'!$E16</f>
        <v>0</v>
      </c>
      <c r="AB52" s="107">
        <f>'Calcs - Price x Vol'!AB30*'Calcs - Discounted cash flows'!$E16</f>
        <v>965.75362299925541</v>
      </c>
      <c r="AE52" s="347"/>
      <c r="AF52" s="89">
        <v>2032</v>
      </c>
      <c r="AG52" s="106">
        <f>'Calcs - Price x Vol'!AG30*'Calcs - Discounted cash flows'!$E16</f>
        <v>423.51864633980159</v>
      </c>
      <c r="AH52" s="106">
        <f>'Calcs - Price x Vol'!AH30*'Calcs - Discounted cash flows'!$E16</f>
        <v>0</v>
      </c>
      <c r="AI52" s="107">
        <f>'Calcs - Price x Vol'!AI30*'Calcs - Discounted cash flows'!$E16</f>
        <v>1317.7409425451654</v>
      </c>
    </row>
    <row r="53" spans="1:35" x14ac:dyDescent="0.25">
      <c r="A53" s="316"/>
      <c r="C53" s="332"/>
      <c r="D53" s="89">
        <v>2033</v>
      </c>
      <c r="E53" s="106">
        <f>'Calcs - Price x Vol'!E31*'Calcs - Discounted cash flows'!$E17</f>
        <v>0</v>
      </c>
      <c r="F53" s="106">
        <f>'Calcs - Price x Vol'!F31*'Calcs - Discounted cash flows'!$E17</f>
        <v>0</v>
      </c>
      <c r="G53" s="107">
        <f>'Calcs - Price x Vol'!G31*'Calcs - Discounted cash flows'!$E17</f>
        <v>0</v>
      </c>
      <c r="H53" s="15"/>
      <c r="J53" s="347"/>
      <c r="K53" s="89">
        <v>2033</v>
      </c>
      <c r="L53" s="106">
        <f>'Calcs - Price x Vol'!L31*'Calcs - Discounted cash flows'!$E17</f>
        <v>94.750847041049113</v>
      </c>
      <c r="M53" s="106">
        <f>'Calcs - Price x Vol'!M31*'Calcs - Discounted cash flows'!$E17</f>
        <v>0</v>
      </c>
      <c r="N53" s="107">
        <f>'Calcs - Price x Vol'!N31*'Calcs - Discounted cash flows'!$E17</f>
        <v>274.07416939463724</v>
      </c>
      <c r="Q53" s="347"/>
      <c r="R53" s="89">
        <v>2033</v>
      </c>
      <c r="S53" s="106">
        <f>'Calcs - Price x Vol'!S31*'Calcs - Discounted cash flows'!$E17</f>
        <v>222.15258180550362</v>
      </c>
      <c r="T53" s="106">
        <f>'Calcs - Price x Vol'!T31*'Calcs - Discounted cash flows'!$E17</f>
        <v>0</v>
      </c>
      <c r="U53" s="107">
        <f>'Calcs - Price x Vol'!U31*'Calcs - Discounted cash flows'!$E17</f>
        <v>642.5935623650912</v>
      </c>
      <c r="X53" s="347"/>
      <c r="Y53" s="89">
        <v>2033</v>
      </c>
      <c r="Z53" s="106">
        <f>'Calcs - Price x Vol'!Z31*'Calcs - Discounted cash flows'!$E17</f>
        <v>349.55431656995836</v>
      </c>
      <c r="AA53" s="106">
        <f>'Calcs - Price x Vol'!AA31*'Calcs - Discounted cash flows'!$E17</f>
        <v>0</v>
      </c>
      <c r="AB53" s="107">
        <f>'Calcs - Price x Vol'!AB31*'Calcs - Discounted cash flows'!$E17</f>
        <v>1011.1129553355458</v>
      </c>
      <c r="AE53" s="347"/>
      <c r="AF53" s="89">
        <v>2033</v>
      </c>
      <c r="AG53" s="106">
        <f>'Calcs - Price x Vol'!AG31*'Calcs - Discounted cash flows'!$E17</f>
        <v>476.9560513344129</v>
      </c>
      <c r="AH53" s="106">
        <f>'Calcs - Price x Vol'!AH31*'Calcs - Discounted cash flows'!$E17</f>
        <v>0</v>
      </c>
      <c r="AI53" s="107">
        <f>'Calcs - Price x Vol'!AI31*'Calcs - Discounted cash flows'!$E17</f>
        <v>1379.6323483059998</v>
      </c>
    </row>
    <row r="54" spans="1:35" x14ac:dyDescent="0.25">
      <c r="A54" s="316"/>
      <c r="C54" s="332"/>
      <c r="D54" s="89">
        <v>2034</v>
      </c>
      <c r="E54" s="106">
        <f>'Calcs - Price x Vol'!E32*'Calcs - Discounted cash flows'!$E18</f>
        <v>0</v>
      </c>
      <c r="F54" s="106">
        <f>'Calcs - Price x Vol'!F32*'Calcs - Discounted cash flows'!$E18</f>
        <v>0</v>
      </c>
      <c r="G54" s="107">
        <f>'Calcs - Price x Vol'!G32*'Calcs - Discounted cash flows'!$E18</f>
        <v>0</v>
      </c>
      <c r="H54" s="15"/>
      <c r="J54" s="347"/>
      <c r="K54" s="89">
        <v>2034</v>
      </c>
      <c r="L54" s="106">
        <f>'Calcs - Price x Vol'!L32*'Calcs - Discounted cash flows'!$E18</f>
        <v>106.7060216966949</v>
      </c>
      <c r="M54" s="106">
        <f>'Calcs - Price x Vol'!M32*'Calcs - Discounted cash flows'!$E18</f>
        <v>0</v>
      </c>
      <c r="N54" s="107">
        <f>'Calcs - Price x Vol'!N32*'Calcs - Discounted cash flows'!$E18</f>
        <v>286.94683281344561</v>
      </c>
      <c r="Q54" s="347"/>
      <c r="R54" s="89">
        <v>2034</v>
      </c>
      <c r="S54" s="106">
        <f>'Calcs - Price x Vol'!S32*'Calcs - Discounted cash flows'!$E18</f>
        <v>250.18265223365322</v>
      </c>
      <c r="T54" s="106">
        <f>'Calcs - Price x Vol'!T32*'Calcs - Discounted cash flows'!$E18</f>
        <v>0</v>
      </c>
      <c r="U54" s="107">
        <f>'Calcs - Price x Vol'!U32*'Calcs - Discounted cash flows'!$E18</f>
        <v>672.77477448620948</v>
      </c>
      <c r="X54" s="347"/>
      <c r="Y54" s="89">
        <v>2034</v>
      </c>
      <c r="Z54" s="106">
        <f>'Calcs - Price x Vol'!Z32*'Calcs - Discounted cash flows'!$E18</f>
        <v>393.65928277061175</v>
      </c>
      <c r="AA54" s="106">
        <f>'Calcs - Price x Vol'!AA32*'Calcs - Discounted cash flows'!$E18</f>
        <v>0</v>
      </c>
      <c r="AB54" s="107">
        <f>'Calcs - Price x Vol'!AB32*'Calcs - Discounted cash flows'!$E18</f>
        <v>1058.6027161589741</v>
      </c>
      <c r="AE54" s="347"/>
      <c r="AF54" s="89">
        <v>2034</v>
      </c>
      <c r="AG54" s="106">
        <f>'Calcs - Price x Vol'!AG32*'Calcs - Discounted cash flows'!$E18</f>
        <v>537.13591330757004</v>
      </c>
      <c r="AH54" s="106">
        <f>'Calcs - Price x Vol'!AH32*'Calcs - Discounted cash flows'!$E18</f>
        <v>0</v>
      </c>
      <c r="AI54" s="107">
        <f>'Calcs - Price x Vol'!AI32*'Calcs - Discounted cash flows'!$E18</f>
        <v>1444.430657831738</v>
      </c>
    </row>
    <row r="55" spans="1:35" x14ac:dyDescent="0.25">
      <c r="A55" s="316"/>
      <c r="C55" s="332"/>
      <c r="D55" s="90">
        <v>2035</v>
      </c>
      <c r="E55" s="106">
        <f>'Calcs - Price x Vol'!E33*'Calcs - Discounted cash flows'!$E19</f>
        <v>0</v>
      </c>
      <c r="F55" s="106">
        <f>'Calcs - Price x Vol'!F33*'Calcs - Discounted cash flows'!$E19</f>
        <v>0</v>
      </c>
      <c r="G55" s="107">
        <f>'Calcs - Price x Vol'!G33*'Calcs - Discounted cash flows'!$E19</f>
        <v>0</v>
      </c>
      <c r="J55" s="347"/>
      <c r="K55" s="90">
        <v>2035</v>
      </c>
      <c r="L55" s="106">
        <f>'Calcs - Price x Vol'!L33*'Calcs - Discounted cash flows'!$E19</f>
        <v>120.16963881497193</v>
      </c>
      <c r="M55" s="106">
        <f>'Calcs - Price x Vol'!M33*'Calcs - Discounted cash flows'!$E19</f>
        <v>0</v>
      </c>
      <c r="N55" s="107">
        <f>'Calcs - Price x Vol'!N33*'Calcs - Discounted cash flows'!$E19</f>
        <v>300.42409703742987</v>
      </c>
      <c r="Q55" s="347"/>
      <c r="R55" s="90">
        <v>2035</v>
      </c>
      <c r="S55" s="106">
        <f>'Calcs - Price x Vol'!S33*'Calcs - Discounted cash flows'!$E19</f>
        <v>281.74941281332622</v>
      </c>
      <c r="T55" s="106">
        <f>'Calcs - Price x Vol'!T33*'Calcs - Discounted cash flows'!$E19</f>
        <v>0</v>
      </c>
      <c r="U55" s="107">
        <f>'Calcs - Price x Vol'!U33*'Calcs - Discounted cash flows'!$E19</f>
        <v>704.37353203331566</v>
      </c>
      <c r="X55" s="347"/>
      <c r="Y55" s="90">
        <v>2035</v>
      </c>
      <c r="Z55" s="106">
        <f>'Calcs - Price x Vol'!Z33*'Calcs - Discounted cash flows'!$E19</f>
        <v>443.32918681168081</v>
      </c>
      <c r="AA55" s="106">
        <f>'Calcs - Price x Vol'!AA33*'Calcs - Discounted cash flows'!$E19</f>
        <v>0</v>
      </c>
      <c r="AB55" s="107">
        <f>'Calcs - Price x Vol'!AB33*'Calcs - Discounted cash flows'!$E19</f>
        <v>1108.3229670292023</v>
      </c>
      <c r="AE55" s="347"/>
      <c r="AF55" s="90">
        <v>2035</v>
      </c>
      <c r="AG55" s="106">
        <f>'Calcs - Price x Vol'!AG33*'Calcs - Discounted cash flows'!$E19</f>
        <v>604.90896081003507</v>
      </c>
      <c r="AH55" s="106">
        <f>'Calcs - Price x Vol'!AH33*'Calcs - Discounted cash flows'!$E19</f>
        <v>0</v>
      </c>
      <c r="AI55" s="107">
        <f>'Calcs - Price x Vol'!AI33*'Calcs - Discounted cash flows'!$E19</f>
        <v>1512.272402025088</v>
      </c>
    </row>
    <row r="56" spans="1:35" x14ac:dyDescent="0.25">
      <c r="A56" s="316"/>
      <c r="C56" s="339"/>
      <c r="D56" s="254" t="s">
        <v>193</v>
      </c>
      <c r="E56" s="102">
        <f>SUM(E44:E55)</f>
        <v>0</v>
      </c>
      <c r="F56" s="102" t="e">
        <f>SUM(F44:F55)</f>
        <v>#VALUE!</v>
      </c>
      <c r="G56" s="103">
        <f>SUM(G44:G55)</f>
        <v>0</v>
      </c>
      <c r="H56" s="68" t="s">
        <v>204</v>
      </c>
      <c r="I56" s="69"/>
      <c r="J56" s="348"/>
      <c r="K56" s="254" t="s">
        <v>193</v>
      </c>
      <c r="L56" s="102">
        <f>SUM(L44:L55)</f>
        <v>480.47036481460941</v>
      </c>
      <c r="M56" s="102" t="e">
        <f>SUM(M44:M55)</f>
        <v>#VALUE!</v>
      </c>
      <c r="N56" s="103">
        <f>SUM(N44:N55)</f>
        <v>1373.2594533849215</v>
      </c>
      <c r="Q56" s="348"/>
      <c r="R56" s="254" t="s">
        <v>193</v>
      </c>
      <c r="S56" s="102">
        <f>SUM(S44:S55)</f>
        <v>1126.5095284937713</v>
      </c>
      <c r="T56" s="102" t="e">
        <f>SUM(T44:T55)</f>
        <v>#VALUE!</v>
      </c>
      <c r="U56" s="103">
        <f>SUM(U44:U55)</f>
        <v>3219.7404306697913</v>
      </c>
      <c r="X56" s="348"/>
      <c r="Y56" s="254" t="s">
        <v>193</v>
      </c>
      <c r="Z56" s="102">
        <f>SUM(Z44:Z55)</f>
        <v>1772.5486921729344</v>
      </c>
      <c r="AA56" s="102" t="e">
        <f>SUM(AA44:AA55)</f>
        <v>#VALUE!</v>
      </c>
      <c r="AB56" s="103">
        <f>SUM(AB44:AB55)</f>
        <v>5066.2214079546648</v>
      </c>
      <c r="AE56" s="348"/>
      <c r="AF56" s="254" t="s">
        <v>193</v>
      </c>
      <c r="AG56" s="102">
        <f>SUM(AG44:AG55)</f>
        <v>2418.5878558520963</v>
      </c>
      <c r="AH56" s="102" t="e">
        <f>SUM(AH44:AH55)</f>
        <v>#VALUE!</v>
      </c>
      <c r="AI56" s="103">
        <f>SUM(AI44:AI55)</f>
        <v>6912.7023852395341</v>
      </c>
    </row>
    <row r="57" spans="1:35" x14ac:dyDescent="0.25">
      <c r="A57" s="316"/>
      <c r="H57" s="15"/>
    </row>
    <row r="58" spans="1:35" ht="30" x14ac:dyDescent="0.25">
      <c r="A58" s="316"/>
      <c r="C58" s="349" t="s">
        <v>63</v>
      </c>
      <c r="D58" s="253" t="s">
        <v>60</v>
      </c>
      <c r="E58" s="183" t="str">
        <f>Inputs!$C$52</f>
        <v>IEA - Emerging and developed economies</v>
      </c>
      <c r="F58" s="183" t="s">
        <v>192</v>
      </c>
      <c r="G58" s="247" t="str">
        <f>Inputs!$C$50</f>
        <v>IEA - Selected EMDE with net zero targets scenario</v>
      </c>
      <c r="H58" s="15"/>
      <c r="J58" s="349" t="s">
        <v>63</v>
      </c>
      <c r="K58" s="253" t="s">
        <v>60</v>
      </c>
      <c r="L58" s="183" t="str">
        <f>Inputs!$C$52</f>
        <v>IEA - Emerging and developed economies</v>
      </c>
      <c r="M58" s="183" t="s">
        <v>192</v>
      </c>
      <c r="N58" s="247" t="str">
        <f>Inputs!$C$50</f>
        <v>IEA - Selected EMDE with net zero targets scenario</v>
      </c>
      <c r="Q58" s="349" t="s">
        <v>63</v>
      </c>
      <c r="R58" s="253" t="s">
        <v>60</v>
      </c>
      <c r="S58" s="183" t="str">
        <f>Inputs!$C$52</f>
        <v>IEA - Emerging and developed economies</v>
      </c>
      <c r="T58" s="183" t="s">
        <v>192</v>
      </c>
      <c r="U58" s="247" t="str">
        <f>Inputs!$C$50</f>
        <v>IEA - Selected EMDE with net zero targets scenario</v>
      </c>
      <c r="X58" s="349" t="s">
        <v>63</v>
      </c>
      <c r="Y58" s="253" t="s">
        <v>60</v>
      </c>
      <c r="Z58" s="183" t="str">
        <f>Inputs!$C$52</f>
        <v>IEA - Emerging and developed economies</v>
      </c>
      <c r="AA58" s="183" t="s">
        <v>192</v>
      </c>
      <c r="AB58" s="247" t="str">
        <f>Inputs!$C$50</f>
        <v>IEA - Selected EMDE with net zero targets scenario</v>
      </c>
      <c r="AE58" s="349" t="s">
        <v>63</v>
      </c>
      <c r="AF58" s="253" t="s">
        <v>60</v>
      </c>
      <c r="AG58" s="183" t="str">
        <f>Inputs!$C$52</f>
        <v>IEA - Emerging and developed economies</v>
      </c>
      <c r="AH58" s="183" t="s">
        <v>192</v>
      </c>
      <c r="AI58" s="247" t="str">
        <f>Inputs!$C$50</f>
        <v>IEA - Selected EMDE with net zero targets scenario</v>
      </c>
    </row>
    <row r="59" spans="1:35" x14ac:dyDescent="0.25">
      <c r="A59" s="316"/>
      <c r="C59" s="350"/>
      <c r="D59" s="124">
        <v>2024</v>
      </c>
      <c r="E59" s="104">
        <f>'Calcs - Price x Vol'!E37*'Calcs - Discounted cash flows'!$E8</f>
        <v>0</v>
      </c>
      <c r="F59" s="104" t="e">
        <f>'Calcs - Price x Vol'!F37*'Calcs - Discounted cash flows'!$E8</f>
        <v>#VALUE!</v>
      </c>
      <c r="G59" s="105">
        <f>'Calcs - Price x Vol'!G37*'Calcs - Discounted cash flows'!$E8</f>
        <v>0</v>
      </c>
      <c r="H59" s="15"/>
      <c r="J59" s="350"/>
      <c r="K59" s="124">
        <v>2024</v>
      </c>
      <c r="L59" s="104">
        <f>'Calcs - Price x Vol'!L37*'Calcs - Discounted cash flows'!$E8</f>
        <v>0</v>
      </c>
      <c r="M59" s="104" t="e">
        <f>'Calcs - Price x Vol'!M37*'Calcs - Discounted cash flows'!$E8</f>
        <v>#VALUE!</v>
      </c>
      <c r="N59" s="105">
        <f>'Calcs - Price x Vol'!N37*'Calcs - Discounted cash flows'!$E8</f>
        <v>0</v>
      </c>
      <c r="Q59" s="350"/>
      <c r="R59" s="124">
        <v>2024</v>
      </c>
      <c r="S59" s="104">
        <f>'Calcs - Price x Vol'!S37*'Calcs - Discounted cash flows'!$E8</f>
        <v>0</v>
      </c>
      <c r="T59" s="104" t="e">
        <f>'Calcs - Price x Vol'!T37*'Calcs - Discounted cash flows'!$E8</f>
        <v>#VALUE!</v>
      </c>
      <c r="U59" s="105">
        <f>'Calcs - Price x Vol'!U37*'Calcs - Discounted cash flows'!$E8</f>
        <v>0</v>
      </c>
      <c r="X59" s="350"/>
      <c r="Y59" s="124">
        <v>2024</v>
      </c>
      <c r="Z59" s="104">
        <f>'Calcs - Price x Vol'!Z37*'Calcs - Discounted cash flows'!$E8</f>
        <v>0</v>
      </c>
      <c r="AA59" s="104" t="e">
        <f>'Calcs - Price x Vol'!AA37*'Calcs - Discounted cash flows'!$E8</f>
        <v>#VALUE!</v>
      </c>
      <c r="AB59" s="105">
        <f>'Calcs - Price x Vol'!AB37*'Calcs - Discounted cash flows'!$E8</f>
        <v>0</v>
      </c>
      <c r="AE59" s="350"/>
      <c r="AF59" s="124">
        <v>2024</v>
      </c>
      <c r="AG59" s="104">
        <f>'Calcs - Price x Vol'!AG37*'Calcs - Discounted cash flows'!$E8</f>
        <v>0</v>
      </c>
      <c r="AH59" s="104" t="e">
        <f>'Calcs - Price x Vol'!AH37*'Calcs - Discounted cash flows'!$E8</f>
        <v>#VALUE!</v>
      </c>
      <c r="AI59" s="105">
        <f>'Calcs - Price x Vol'!AI37*'Calcs - Discounted cash flows'!$E8</f>
        <v>0</v>
      </c>
    </row>
    <row r="60" spans="1:35" x14ac:dyDescent="0.25">
      <c r="A60" s="316"/>
      <c r="C60" s="350"/>
      <c r="D60" s="89">
        <v>2025</v>
      </c>
      <c r="E60" s="106">
        <f>'Calcs - Price x Vol'!E38*'Calcs - Discounted cash flows'!$E9</f>
        <v>0</v>
      </c>
      <c r="F60" s="106">
        <f>'Calcs - Price x Vol'!F38*'Calcs - Discounted cash flows'!$E9</f>
        <v>0</v>
      </c>
      <c r="G60" s="107">
        <f>'Calcs - Price x Vol'!G38*'Calcs - Discounted cash flows'!$E9</f>
        <v>0</v>
      </c>
      <c r="H60" s="15"/>
      <c r="J60" s="350"/>
      <c r="K60" s="89">
        <v>2025</v>
      </c>
      <c r="L60" s="106">
        <f>'Calcs - Price x Vol'!L38*'Calcs - Discounted cash flows'!$E9</f>
        <v>0</v>
      </c>
      <c r="M60" s="106">
        <f>'Calcs - Price x Vol'!M38*'Calcs - Discounted cash flows'!$E9</f>
        <v>0</v>
      </c>
      <c r="N60" s="107">
        <f>'Calcs - Price x Vol'!N38*'Calcs - Discounted cash flows'!$E9</f>
        <v>0</v>
      </c>
      <c r="Q60" s="350"/>
      <c r="R60" s="89">
        <v>2025</v>
      </c>
      <c r="S60" s="106">
        <f>'Calcs - Price x Vol'!S38*'Calcs - Discounted cash flows'!$E9</f>
        <v>0</v>
      </c>
      <c r="T60" s="106">
        <f>'Calcs - Price x Vol'!T38*'Calcs - Discounted cash flows'!$E9</f>
        <v>0</v>
      </c>
      <c r="U60" s="107">
        <f>'Calcs - Price x Vol'!U38*'Calcs - Discounted cash flows'!$E9</f>
        <v>0</v>
      </c>
      <c r="X60" s="350"/>
      <c r="Y60" s="89">
        <v>2025</v>
      </c>
      <c r="Z60" s="106">
        <f>'Calcs - Price x Vol'!Z38*'Calcs - Discounted cash flows'!$E9</f>
        <v>0</v>
      </c>
      <c r="AA60" s="106">
        <f>'Calcs - Price x Vol'!AA38*'Calcs - Discounted cash flows'!$E9</f>
        <v>0</v>
      </c>
      <c r="AB60" s="107">
        <f>'Calcs - Price x Vol'!AB38*'Calcs - Discounted cash flows'!$E9</f>
        <v>0</v>
      </c>
      <c r="AE60" s="350"/>
      <c r="AF60" s="89">
        <v>2025</v>
      </c>
      <c r="AG60" s="106">
        <f>'Calcs - Price x Vol'!AG38*'Calcs - Discounted cash flows'!$E9</f>
        <v>0</v>
      </c>
      <c r="AH60" s="106">
        <f>'Calcs - Price x Vol'!AH38*'Calcs - Discounted cash flows'!$E9</f>
        <v>0</v>
      </c>
      <c r="AI60" s="107">
        <f>'Calcs - Price x Vol'!AI38*'Calcs - Discounted cash flows'!$E9</f>
        <v>0</v>
      </c>
    </row>
    <row r="61" spans="1:35" x14ac:dyDescent="0.25">
      <c r="A61" s="316"/>
      <c r="C61" s="350"/>
      <c r="D61" s="89">
        <v>2026</v>
      </c>
      <c r="E61" s="106">
        <f>'Calcs - Price x Vol'!E39*'Calcs - Discounted cash flows'!$E10</f>
        <v>0</v>
      </c>
      <c r="F61" s="106">
        <f>'Calcs - Price x Vol'!F39*'Calcs - Discounted cash flows'!$E10</f>
        <v>0</v>
      </c>
      <c r="G61" s="107">
        <f>'Calcs - Price x Vol'!G39*'Calcs - Discounted cash flows'!$E10</f>
        <v>0</v>
      </c>
      <c r="H61" s="15"/>
      <c r="J61" s="350"/>
      <c r="K61" s="89">
        <v>2026</v>
      </c>
      <c r="L61" s="106">
        <f>'Calcs - Price x Vol'!L39*'Calcs - Discounted cash flows'!$E10</f>
        <v>0</v>
      </c>
      <c r="M61" s="106">
        <f>'Calcs - Price x Vol'!M39*'Calcs - Discounted cash flows'!$E10</f>
        <v>0</v>
      </c>
      <c r="N61" s="107">
        <f>'Calcs - Price x Vol'!N39*'Calcs - Discounted cash flows'!$E10</f>
        <v>0</v>
      </c>
      <c r="Q61" s="350"/>
      <c r="R61" s="89">
        <v>2026</v>
      </c>
      <c r="S61" s="106">
        <f>'Calcs - Price x Vol'!S39*'Calcs - Discounted cash flows'!$E10</f>
        <v>0</v>
      </c>
      <c r="T61" s="106">
        <f>'Calcs - Price x Vol'!T39*'Calcs - Discounted cash flows'!$E10</f>
        <v>0</v>
      </c>
      <c r="U61" s="107">
        <f>'Calcs - Price x Vol'!U39*'Calcs - Discounted cash flows'!$E10</f>
        <v>0</v>
      </c>
      <c r="X61" s="350"/>
      <c r="Y61" s="89">
        <v>2026</v>
      </c>
      <c r="Z61" s="106">
        <f>'Calcs - Price x Vol'!Z39*'Calcs - Discounted cash flows'!$E10</f>
        <v>0</v>
      </c>
      <c r="AA61" s="106">
        <f>'Calcs - Price x Vol'!AA39*'Calcs - Discounted cash flows'!$E10</f>
        <v>0</v>
      </c>
      <c r="AB61" s="107">
        <f>'Calcs - Price x Vol'!AB39*'Calcs - Discounted cash flows'!$E10</f>
        <v>0</v>
      </c>
      <c r="AE61" s="350"/>
      <c r="AF61" s="89">
        <v>2026</v>
      </c>
      <c r="AG61" s="106">
        <f>'Calcs - Price x Vol'!AG39*'Calcs - Discounted cash flows'!$E10</f>
        <v>0</v>
      </c>
      <c r="AH61" s="106">
        <f>'Calcs - Price x Vol'!AH39*'Calcs - Discounted cash flows'!$E10</f>
        <v>0</v>
      </c>
      <c r="AI61" s="107">
        <f>'Calcs - Price x Vol'!AI39*'Calcs - Discounted cash flows'!$E10</f>
        <v>0</v>
      </c>
    </row>
    <row r="62" spans="1:35" x14ac:dyDescent="0.25">
      <c r="A62" s="316"/>
      <c r="C62" s="350"/>
      <c r="D62" s="89">
        <v>2027</v>
      </c>
      <c r="E62" s="106">
        <f>'Calcs - Price x Vol'!E40*'Calcs - Discounted cash flows'!$E11</f>
        <v>0</v>
      </c>
      <c r="F62" s="106">
        <f>'Calcs - Price x Vol'!F40*'Calcs - Discounted cash flows'!$E11</f>
        <v>0</v>
      </c>
      <c r="G62" s="107">
        <f>'Calcs - Price x Vol'!G40*'Calcs - Discounted cash flows'!$E11</f>
        <v>0</v>
      </c>
      <c r="H62" s="15"/>
      <c r="J62" s="350"/>
      <c r="K62" s="89">
        <v>2027</v>
      </c>
      <c r="L62" s="106">
        <f>'Calcs - Price x Vol'!L40*'Calcs - Discounted cash flows'!$E11</f>
        <v>0</v>
      </c>
      <c r="M62" s="106">
        <f>'Calcs - Price x Vol'!M40*'Calcs - Discounted cash flows'!$E11</f>
        <v>0</v>
      </c>
      <c r="N62" s="107">
        <f>'Calcs - Price x Vol'!N40*'Calcs - Discounted cash flows'!$E11</f>
        <v>0</v>
      </c>
      <c r="Q62" s="350"/>
      <c r="R62" s="89">
        <v>2027</v>
      </c>
      <c r="S62" s="106">
        <f>'Calcs - Price x Vol'!S40*'Calcs - Discounted cash flows'!$E11</f>
        <v>0</v>
      </c>
      <c r="T62" s="106">
        <f>'Calcs - Price x Vol'!T40*'Calcs - Discounted cash flows'!$E11</f>
        <v>0</v>
      </c>
      <c r="U62" s="107">
        <f>'Calcs - Price x Vol'!U40*'Calcs - Discounted cash flows'!$E11</f>
        <v>0</v>
      </c>
      <c r="X62" s="350"/>
      <c r="Y62" s="89">
        <v>2027</v>
      </c>
      <c r="Z62" s="106">
        <f>'Calcs - Price x Vol'!Z40*'Calcs - Discounted cash flows'!$E11</f>
        <v>0</v>
      </c>
      <c r="AA62" s="106">
        <f>'Calcs - Price x Vol'!AA40*'Calcs - Discounted cash flows'!$E11</f>
        <v>0</v>
      </c>
      <c r="AB62" s="107">
        <f>'Calcs - Price x Vol'!AB40*'Calcs - Discounted cash flows'!$E11</f>
        <v>0</v>
      </c>
      <c r="AE62" s="350"/>
      <c r="AF62" s="89">
        <v>2027</v>
      </c>
      <c r="AG62" s="106">
        <f>'Calcs - Price x Vol'!AG40*'Calcs - Discounted cash flows'!$E11</f>
        <v>0</v>
      </c>
      <c r="AH62" s="106">
        <f>'Calcs - Price x Vol'!AH40*'Calcs - Discounted cash flows'!$E11</f>
        <v>0</v>
      </c>
      <c r="AI62" s="107">
        <f>'Calcs - Price x Vol'!AI40*'Calcs - Discounted cash flows'!$E11</f>
        <v>0</v>
      </c>
    </row>
    <row r="63" spans="1:35" x14ac:dyDescent="0.25">
      <c r="A63" s="316"/>
      <c r="C63" s="350"/>
      <c r="D63" s="89">
        <v>2028</v>
      </c>
      <c r="E63" s="106">
        <f>'Calcs - Price x Vol'!E41*'Calcs - Discounted cash flows'!$E12</f>
        <v>0</v>
      </c>
      <c r="F63" s="106">
        <f>'Calcs - Price x Vol'!F41*'Calcs - Discounted cash flows'!$E12</f>
        <v>0</v>
      </c>
      <c r="G63" s="107">
        <f>'Calcs - Price x Vol'!G41*'Calcs - Discounted cash flows'!$E12</f>
        <v>0</v>
      </c>
      <c r="H63" s="15"/>
      <c r="J63" s="350"/>
      <c r="K63" s="89">
        <v>2028</v>
      </c>
      <c r="L63" s="106">
        <f>'Calcs - Price x Vol'!L41*'Calcs - Discounted cash flows'!$E12</f>
        <v>0</v>
      </c>
      <c r="M63" s="106">
        <f>'Calcs - Price x Vol'!M41*'Calcs - Discounted cash flows'!$E12</f>
        <v>0</v>
      </c>
      <c r="N63" s="107">
        <f>'Calcs - Price x Vol'!N41*'Calcs - Discounted cash flows'!$E12</f>
        <v>0</v>
      </c>
      <c r="Q63" s="350"/>
      <c r="R63" s="89">
        <v>2028</v>
      </c>
      <c r="S63" s="106">
        <f>'Calcs - Price x Vol'!S41*'Calcs - Discounted cash flows'!$E12</f>
        <v>0</v>
      </c>
      <c r="T63" s="106">
        <f>'Calcs - Price x Vol'!T41*'Calcs - Discounted cash flows'!$E12</f>
        <v>0</v>
      </c>
      <c r="U63" s="107">
        <f>'Calcs - Price x Vol'!U41*'Calcs - Discounted cash flows'!$E12</f>
        <v>0</v>
      </c>
      <c r="X63" s="350"/>
      <c r="Y63" s="89">
        <v>2028</v>
      </c>
      <c r="Z63" s="106">
        <f>'Calcs - Price x Vol'!Z41*'Calcs - Discounted cash flows'!$E12</f>
        <v>0</v>
      </c>
      <c r="AA63" s="106">
        <f>'Calcs - Price x Vol'!AA41*'Calcs - Discounted cash flows'!$E12</f>
        <v>0</v>
      </c>
      <c r="AB63" s="107">
        <f>'Calcs - Price x Vol'!AB41*'Calcs - Discounted cash flows'!$E12</f>
        <v>0</v>
      </c>
      <c r="AE63" s="350"/>
      <c r="AF63" s="89">
        <v>2028</v>
      </c>
      <c r="AG63" s="106">
        <f>'Calcs - Price x Vol'!AG41*'Calcs - Discounted cash flows'!$E12</f>
        <v>0</v>
      </c>
      <c r="AH63" s="106">
        <f>'Calcs - Price x Vol'!AH41*'Calcs - Discounted cash flows'!$E12</f>
        <v>0</v>
      </c>
      <c r="AI63" s="107">
        <f>'Calcs - Price x Vol'!AI41*'Calcs - Discounted cash flows'!$E12</f>
        <v>0</v>
      </c>
    </row>
    <row r="64" spans="1:35" x14ac:dyDescent="0.25">
      <c r="A64" s="316"/>
      <c r="C64" s="350"/>
      <c r="D64" s="89">
        <v>2029</v>
      </c>
      <c r="E64" s="106">
        <f>'Calcs - Price x Vol'!E42*'Calcs - Discounted cash flows'!$E13</f>
        <v>0</v>
      </c>
      <c r="F64" s="106">
        <f>'Calcs - Price x Vol'!F42*'Calcs - Discounted cash flows'!$E13</f>
        <v>0</v>
      </c>
      <c r="G64" s="107">
        <f>'Calcs - Price x Vol'!G42*'Calcs - Discounted cash flows'!$E13</f>
        <v>0</v>
      </c>
      <c r="H64" s="15"/>
      <c r="J64" s="350"/>
      <c r="K64" s="89">
        <v>2029</v>
      </c>
      <c r="L64" s="106">
        <f>'Calcs - Price x Vol'!L42*'Calcs - Discounted cash flows'!$E13</f>
        <v>0</v>
      </c>
      <c r="M64" s="106">
        <f>'Calcs - Price x Vol'!M42*'Calcs - Discounted cash flows'!$E13</f>
        <v>0</v>
      </c>
      <c r="N64" s="107">
        <f>'Calcs - Price x Vol'!N42*'Calcs - Discounted cash flows'!$E13</f>
        <v>0</v>
      </c>
      <c r="Q64" s="350"/>
      <c r="R64" s="89">
        <v>2029</v>
      </c>
      <c r="S64" s="106">
        <f>'Calcs - Price x Vol'!S42*'Calcs - Discounted cash flows'!$E13</f>
        <v>0</v>
      </c>
      <c r="T64" s="106">
        <f>'Calcs - Price x Vol'!T42*'Calcs - Discounted cash flows'!$E13</f>
        <v>0</v>
      </c>
      <c r="U64" s="107">
        <f>'Calcs - Price x Vol'!U42*'Calcs - Discounted cash flows'!$E13</f>
        <v>0</v>
      </c>
      <c r="X64" s="350"/>
      <c r="Y64" s="89">
        <v>2029</v>
      </c>
      <c r="Z64" s="106">
        <f>'Calcs - Price x Vol'!Z42*'Calcs - Discounted cash flows'!$E13</f>
        <v>0</v>
      </c>
      <c r="AA64" s="106">
        <f>'Calcs - Price x Vol'!AA42*'Calcs - Discounted cash flows'!$E13</f>
        <v>0</v>
      </c>
      <c r="AB64" s="107">
        <f>'Calcs - Price x Vol'!AB42*'Calcs - Discounted cash flows'!$E13</f>
        <v>0</v>
      </c>
      <c r="AE64" s="350"/>
      <c r="AF64" s="89">
        <v>2029</v>
      </c>
      <c r="AG64" s="106">
        <f>'Calcs - Price x Vol'!AG42*'Calcs - Discounted cash flows'!$E13</f>
        <v>0</v>
      </c>
      <c r="AH64" s="106">
        <f>'Calcs - Price x Vol'!AH42*'Calcs - Discounted cash flows'!$E13</f>
        <v>0</v>
      </c>
      <c r="AI64" s="107">
        <f>'Calcs - Price x Vol'!AI42*'Calcs - Discounted cash flows'!$E13</f>
        <v>0</v>
      </c>
    </row>
    <row r="65" spans="1:35" x14ac:dyDescent="0.25">
      <c r="A65" s="316"/>
      <c r="C65" s="350"/>
      <c r="D65" s="89">
        <v>2030</v>
      </c>
      <c r="E65" s="106">
        <f>'Calcs - Price x Vol'!E43*'Calcs - Discounted cash flows'!$E14</f>
        <v>0</v>
      </c>
      <c r="F65" s="106">
        <f>'Calcs - Price x Vol'!F43*'Calcs - Discounted cash flows'!$E14</f>
        <v>0</v>
      </c>
      <c r="G65" s="107">
        <f>'Calcs - Price x Vol'!G43*'Calcs - Discounted cash flows'!$E14</f>
        <v>0</v>
      </c>
      <c r="H65" s="15"/>
      <c r="J65" s="350"/>
      <c r="K65" s="89">
        <v>2030</v>
      </c>
      <c r="L65" s="106">
        <f>'Calcs - Price x Vol'!L43*'Calcs - Discounted cash flows'!$E14</f>
        <v>0</v>
      </c>
      <c r="M65" s="106">
        <f>'Calcs - Price x Vol'!M43*'Calcs - Discounted cash flows'!$E14</f>
        <v>0</v>
      </c>
      <c r="N65" s="107">
        <f>'Calcs - Price x Vol'!N43*'Calcs - Discounted cash flows'!$E14</f>
        <v>0</v>
      </c>
      <c r="Q65" s="350"/>
      <c r="R65" s="89">
        <v>2030</v>
      </c>
      <c r="S65" s="106">
        <f>'Calcs - Price x Vol'!S43*'Calcs - Discounted cash flows'!$E14</f>
        <v>0</v>
      </c>
      <c r="T65" s="106">
        <f>'Calcs - Price x Vol'!T43*'Calcs - Discounted cash flows'!$E14</f>
        <v>0</v>
      </c>
      <c r="U65" s="107">
        <f>'Calcs - Price x Vol'!U43*'Calcs - Discounted cash flows'!$E14</f>
        <v>0</v>
      </c>
      <c r="X65" s="350"/>
      <c r="Y65" s="89">
        <v>2030</v>
      </c>
      <c r="Z65" s="106">
        <f>'Calcs - Price x Vol'!Z43*'Calcs - Discounted cash flows'!$E14</f>
        <v>0</v>
      </c>
      <c r="AA65" s="106">
        <f>'Calcs - Price x Vol'!AA43*'Calcs - Discounted cash flows'!$E14</f>
        <v>0</v>
      </c>
      <c r="AB65" s="107">
        <f>'Calcs - Price x Vol'!AB43*'Calcs - Discounted cash flows'!$E14</f>
        <v>0</v>
      </c>
      <c r="AE65" s="350"/>
      <c r="AF65" s="89">
        <v>2030</v>
      </c>
      <c r="AG65" s="106">
        <f>'Calcs - Price x Vol'!AG43*'Calcs - Discounted cash flows'!$E14</f>
        <v>0</v>
      </c>
      <c r="AH65" s="106">
        <f>'Calcs - Price x Vol'!AH43*'Calcs - Discounted cash flows'!$E14</f>
        <v>0</v>
      </c>
      <c r="AI65" s="107">
        <f>'Calcs - Price x Vol'!AI43*'Calcs - Discounted cash flows'!$E14</f>
        <v>0</v>
      </c>
    </row>
    <row r="66" spans="1:35" x14ac:dyDescent="0.25">
      <c r="A66" s="316"/>
      <c r="C66" s="350"/>
      <c r="D66" s="89">
        <v>2031</v>
      </c>
      <c r="E66" s="106">
        <f>'Calcs - Price x Vol'!E44*'Calcs - Discounted cash flows'!$E15</f>
        <v>0</v>
      </c>
      <c r="F66" s="106">
        <f>'Calcs - Price x Vol'!F44*'Calcs - Discounted cash flows'!$E15</f>
        <v>0</v>
      </c>
      <c r="G66" s="107">
        <f>'Calcs - Price x Vol'!G44*'Calcs - Discounted cash flows'!$E15</f>
        <v>0</v>
      </c>
      <c r="H66" s="15"/>
      <c r="J66" s="350"/>
      <c r="K66" s="89">
        <v>2031</v>
      </c>
      <c r="L66" s="106">
        <f>'Calcs - Price x Vol'!L44*'Calcs - Discounted cash flows'!$E15</f>
        <v>74.708745932235857</v>
      </c>
      <c r="M66" s="106">
        <f>'Calcs - Price x Vol'!M44*'Calcs - Discounted cash flows'!$E15</f>
        <v>0</v>
      </c>
      <c r="N66" s="107">
        <f>'Calcs - Price x Vol'!N44*'Calcs - Discounted cash flows'!$E15</f>
        <v>250.03537023197418</v>
      </c>
      <c r="Q66" s="350"/>
      <c r="R66" s="89">
        <v>2031</v>
      </c>
      <c r="S66" s="106">
        <f>'Calcs - Price x Vol'!S44*'Calcs - Discounted cash flows'!$E15</f>
        <v>175.16192530824941</v>
      </c>
      <c r="T66" s="106">
        <f>'Calcs - Price x Vol'!T44*'Calcs - Discounted cash flows'!$E15</f>
        <v>0</v>
      </c>
      <c r="U66" s="107">
        <f>'Calcs - Price x Vol'!U44*'Calcs - Discounted cash flows'!$E15</f>
        <v>586.23225833183017</v>
      </c>
      <c r="X66" s="350"/>
      <c r="Y66" s="89">
        <v>2031</v>
      </c>
      <c r="Z66" s="106">
        <f>'Calcs - Price x Vol'!Z44*'Calcs - Discounted cash flows'!$E15</f>
        <v>275.6151046842632</v>
      </c>
      <c r="AA66" s="106">
        <f>'Calcs - Price x Vol'!AA44*'Calcs - Discounted cash flows'!$E15</f>
        <v>0</v>
      </c>
      <c r="AB66" s="107">
        <f>'Calcs - Price x Vol'!AB44*'Calcs - Discounted cash flows'!$E15</f>
        <v>922.42914643168683</v>
      </c>
      <c r="AE66" s="350"/>
      <c r="AF66" s="89">
        <v>2031</v>
      </c>
      <c r="AG66" s="106">
        <f>'Calcs - Price x Vol'!AG44*'Calcs - Discounted cash flows'!$E15</f>
        <v>376.06828406027677</v>
      </c>
      <c r="AH66" s="106">
        <f>'Calcs - Price x Vol'!AH44*'Calcs - Discounted cash flows'!$E15</f>
        <v>0</v>
      </c>
      <c r="AI66" s="107">
        <f>'Calcs - Price x Vol'!AI44*'Calcs - Discounted cash flows'!$E15</f>
        <v>1258.6260345315427</v>
      </c>
    </row>
    <row r="67" spans="1:35" x14ac:dyDescent="0.25">
      <c r="A67" s="316"/>
      <c r="C67" s="350"/>
      <c r="D67" s="89">
        <v>2032</v>
      </c>
      <c r="E67" s="106">
        <f>'Calcs - Price x Vol'!E45*'Calcs - Discounted cash flows'!$E16</f>
        <v>0</v>
      </c>
      <c r="F67" s="106">
        <f>'Calcs - Price x Vol'!F45*'Calcs - Discounted cash flows'!$E16</f>
        <v>0</v>
      </c>
      <c r="G67" s="107">
        <f>'Calcs - Price x Vol'!G45*'Calcs - Discounted cash flows'!$E16</f>
        <v>0</v>
      </c>
      <c r="H67" s="15"/>
      <c r="J67" s="350"/>
      <c r="K67" s="89">
        <v>2032</v>
      </c>
      <c r="L67" s="106">
        <f>'Calcs - Price x Vol'!L45*'Calcs - Discounted cash flows'!$E16</f>
        <v>84.135111329657605</v>
      </c>
      <c r="M67" s="106">
        <f>'Calcs - Price x Vol'!M45*'Calcs - Discounted cash flows'!$E16</f>
        <v>0</v>
      </c>
      <c r="N67" s="107">
        <f>'Calcs - Price x Vol'!N45*'Calcs - Discounted cash flows'!$E16</f>
        <v>261.77898390743462</v>
      </c>
      <c r="Q67" s="350"/>
      <c r="R67" s="89">
        <v>2032</v>
      </c>
      <c r="S67" s="106">
        <f>'Calcs - Price x Vol'!S45*'Calcs - Discounted cash flows'!$E16</f>
        <v>197.26295633303886</v>
      </c>
      <c r="T67" s="106">
        <f>'Calcs - Price x Vol'!T45*'Calcs - Discounted cash flows'!$E16</f>
        <v>0</v>
      </c>
      <c r="U67" s="107">
        <f>'Calcs - Price x Vol'!U45*'Calcs - Discounted cash flows'!$E16</f>
        <v>613.76630345334456</v>
      </c>
      <c r="X67" s="350"/>
      <c r="Y67" s="89">
        <v>2032</v>
      </c>
      <c r="Z67" s="106">
        <f>'Calcs - Price x Vol'!Z45*'Calcs - Discounted cash flows'!$E16</f>
        <v>310.39080133642028</v>
      </c>
      <c r="AA67" s="106">
        <f>'Calcs - Price x Vol'!AA45*'Calcs - Discounted cash flows'!$E16</f>
        <v>0</v>
      </c>
      <c r="AB67" s="107">
        <f>'Calcs - Price x Vol'!AB45*'Calcs - Discounted cash flows'!$E16</f>
        <v>965.75362299925541</v>
      </c>
      <c r="AE67" s="350"/>
      <c r="AF67" s="89">
        <v>2032</v>
      </c>
      <c r="AG67" s="106">
        <f>'Calcs - Price x Vol'!AG45*'Calcs - Discounted cash flows'!$E16</f>
        <v>423.51864633980159</v>
      </c>
      <c r="AH67" s="106">
        <f>'Calcs - Price x Vol'!AH45*'Calcs - Discounted cash flows'!$E16</f>
        <v>0</v>
      </c>
      <c r="AI67" s="107">
        <f>'Calcs - Price x Vol'!AI45*'Calcs - Discounted cash flows'!$E16</f>
        <v>1317.7409425451654</v>
      </c>
    </row>
    <row r="68" spans="1:35" x14ac:dyDescent="0.25">
      <c r="A68" s="316"/>
      <c r="C68" s="350"/>
      <c r="D68" s="89">
        <v>2033</v>
      </c>
      <c r="E68" s="106">
        <f>'Calcs - Price x Vol'!E46*'Calcs - Discounted cash flows'!$E17</f>
        <v>0</v>
      </c>
      <c r="F68" s="106">
        <f>'Calcs - Price x Vol'!F46*'Calcs - Discounted cash flows'!$E17</f>
        <v>0</v>
      </c>
      <c r="G68" s="107">
        <f>'Calcs - Price x Vol'!G46*'Calcs - Discounted cash flows'!$E17</f>
        <v>0</v>
      </c>
      <c r="H68" s="15"/>
      <c r="J68" s="350"/>
      <c r="K68" s="89">
        <v>2033</v>
      </c>
      <c r="L68" s="106">
        <f>'Calcs - Price x Vol'!L46*'Calcs - Discounted cash flows'!$E17</f>
        <v>94.750847041049113</v>
      </c>
      <c r="M68" s="106">
        <f>'Calcs - Price x Vol'!M46*'Calcs - Discounted cash flows'!$E17</f>
        <v>0</v>
      </c>
      <c r="N68" s="107">
        <f>'Calcs - Price x Vol'!N46*'Calcs - Discounted cash flows'!$E17</f>
        <v>274.07416939463724</v>
      </c>
      <c r="Q68" s="350"/>
      <c r="R68" s="89">
        <v>2033</v>
      </c>
      <c r="S68" s="106">
        <f>'Calcs - Price x Vol'!S46*'Calcs - Discounted cash flows'!$E17</f>
        <v>222.15258180550362</v>
      </c>
      <c r="T68" s="106">
        <f>'Calcs - Price x Vol'!T46*'Calcs - Discounted cash flows'!$E17</f>
        <v>0</v>
      </c>
      <c r="U68" s="107">
        <f>'Calcs - Price x Vol'!U46*'Calcs - Discounted cash flows'!$E17</f>
        <v>642.5935623650912</v>
      </c>
      <c r="X68" s="350"/>
      <c r="Y68" s="89">
        <v>2033</v>
      </c>
      <c r="Z68" s="106">
        <f>'Calcs - Price x Vol'!Z46*'Calcs - Discounted cash flows'!$E17</f>
        <v>349.55431656995836</v>
      </c>
      <c r="AA68" s="106">
        <f>'Calcs - Price x Vol'!AA46*'Calcs - Discounted cash flows'!$E17</f>
        <v>0</v>
      </c>
      <c r="AB68" s="107">
        <f>'Calcs - Price x Vol'!AB46*'Calcs - Discounted cash flows'!$E17</f>
        <v>1011.1129553355458</v>
      </c>
      <c r="AE68" s="350"/>
      <c r="AF68" s="89">
        <v>2033</v>
      </c>
      <c r="AG68" s="106">
        <f>'Calcs - Price x Vol'!AG46*'Calcs - Discounted cash flows'!$E17</f>
        <v>476.9560513344129</v>
      </c>
      <c r="AH68" s="106">
        <f>'Calcs - Price x Vol'!AH46*'Calcs - Discounted cash flows'!$E17</f>
        <v>0</v>
      </c>
      <c r="AI68" s="107">
        <f>'Calcs - Price x Vol'!AI46*'Calcs - Discounted cash flows'!$E17</f>
        <v>1379.6323483059998</v>
      </c>
    </row>
    <row r="69" spans="1:35" x14ac:dyDescent="0.25">
      <c r="A69" s="316"/>
      <c r="C69" s="350"/>
      <c r="D69" s="89">
        <v>2034</v>
      </c>
      <c r="E69" s="106">
        <f>'Calcs - Price x Vol'!E47*'Calcs - Discounted cash flows'!$E18</f>
        <v>0</v>
      </c>
      <c r="F69" s="106">
        <f>'Calcs - Price x Vol'!F47*'Calcs - Discounted cash flows'!$E18</f>
        <v>0</v>
      </c>
      <c r="G69" s="107">
        <f>'Calcs - Price x Vol'!G47*'Calcs - Discounted cash flows'!$E18</f>
        <v>0</v>
      </c>
      <c r="J69" s="350"/>
      <c r="K69" s="89">
        <v>2034</v>
      </c>
      <c r="L69" s="106">
        <f>'Calcs - Price x Vol'!L47*'Calcs - Discounted cash flows'!$E18</f>
        <v>106.7060216966949</v>
      </c>
      <c r="M69" s="106">
        <f>'Calcs - Price x Vol'!M47*'Calcs - Discounted cash flows'!$E18</f>
        <v>0</v>
      </c>
      <c r="N69" s="107">
        <f>'Calcs - Price x Vol'!N47*'Calcs - Discounted cash flows'!$E18</f>
        <v>286.94683281344561</v>
      </c>
      <c r="Q69" s="350"/>
      <c r="R69" s="89">
        <v>2034</v>
      </c>
      <c r="S69" s="106">
        <f>'Calcs - Price x Vol'!S47*'Calcs - Discounted cash flows'!$E18</f>
        <v>250.18265223365322</v>
      </c>
      <c r="T69" s="106">
        <f>'Calcs - Price x Vol'!T47*'Calcs - Discounted cash flows'!$E18</f>
        <v>0</v>
      </c>
      <c r="U69" s="107">
        <f>'Calcs - Price x Vol'!U47*'Calcs - Discounted cash flows'!$E18</f>
        <v>672.77477448620948</v>
      </c>
      <c r="X69" s="350"/>
      <c r="Y69" s="89">
        <v>2034</v>
      </c>
      <c r="Z69" s="106">
        <f>'Calcs - Price x Vol'!Z47*'Calcs - Discounted cash flows'!$E18</f>
        <v>393.65928277061175</v>
      </c>
      <c r="AA69" s="106">
        <f>'Calcs - Price x Vol'!AA47*'Calcs - Discounted cash flows'!$E18</f>
        <v>0</v>
      </c>
      <c r="AB69" s="107">
        <f>'Calcs - Price x Vol'!AB47*'Calcs - Discounted cash flows'!$E18</f>
        <v>1058.6027161589741</v>
      </c>
      <c r="AE69" s="350"/>
      <c r="AF69" s="89">
        <v>2034</v>
      </c>
      <c r="AG69" s="106">
        <f>'Calcs - Price x Vol'!AG47*'Calcs - Discounted cash flows'!$E18</f>
        <v>537.13591330757004</v>
      </c>
      <c r="AH69" s="106">
        <f>'Calcs - Price x Vol'!AH47*'Calcs - Discounted cash flows'!$E18</f>
        <v>0</v>
      </c>
      <c r="AI69" s="107">
        <f>'Calcs - Price x Vol'!AI47*'Calcs - Discounted cash flows'!$E18</f>
        <v>1444.430657831738</v>
      </c>
    </row>
    <row r="70" spans="1:35" x14ac:dyDescent="0.25">
      <c r="A70" s="316"/>
      <c r="C70" s="350"/>
      <c r="D70" s="90">
        <v>2035</v>
      </c>
      <c r="E70" s="106">
        <f>'Calcs - Price x Vol'!E48*'Calcs - Discounted cash flows'!$E19</f>
        <v>0</v>
      </c>
      <c r="F70" s="106">
        <f>'Calcs - Price x Vol'!F48*'Calcs - Discounted cash flows'!$E19</f>
        <v>0</v>
      </c>
      <c r="G70" s="107">
        <f>'Calcs - Price x Vol'!G48*'Calcs - Discounted cash flows'!$E19</f>
        <v>0</v>
      </c>
      <c r="J70" s="350"/>
      <c r="K70" s="90">
        <v>2035</v>
      </c>
      <c r="L70" s="106">
        <f>'Calcs - Price x Vol'!L48*'Calcs - Discounted cash flows'!$E19</f>
        <v>120.16963881497193</v>
      </c>
      <c r="M70" s="106">
        <f>'Calcs - Price x Vol'!M48*'Calcs - Discounted cash flows'!$E19</f>
        <v>0</v>
      </c>
      <c r="N70" s="107">
        <f>'Calcs - Price x Vol'!N48*'Calcs - Discounted cash flows'!$E19</f>
        <v>300.42409703742987</v>
      </c>
      <c r="Q70" s="350"/>
      <c r="R70" s="90">
        <v>2035</v>
      </c>
      <c r="S70" s="106">
        <f>'Calcs - Price x Vol'!S48*'Calcs - Discounted cash flows'!$E19</f>
        <v>281.74941281332622</v>
      </c>
      <c r="T70" s="106">
        <f>'Calcs - Price x Vol'!T48*'Calcs - Discounted cash flows'!$E19</f>
        <v>0</v>
      </c>
      <c r="U70" s="107">
        <f>'Calcs - Price x Vol'!U48*'Calcs - Discounted cash flows'!$E19</f>
        <v>704.37353203331566</v>
      </c>
      <c r="X70" s="350"/>
      <c r="Y70" s="90">
        <v>2035</v>
      </c>
      <c r="Z70" s="106">
        <f>'Calcs - Price x Vol'!Z48*'Calcs - Discounted cash flows'!$E19</f>
        <v>443.32918681168081</v>
      </c>
      <c r="AA70" s="106">
        <f>'Calcs - Price x Vol'!AA48*'Calcs - Discounted cash flows'!$E19</f>
        <v>0</v>
      </c>
      <c r="AB70" s="107">
        <f>'Calcs - Price x Vol'!AB48*'Calcs - Discounted cash flows'!$E19</f>
        <v>1108.3229670292023</v>
      </c>
      <c r="AE70" s="350"/>
      <c r="AF70" s="90">
        <v>2035</v>
      </c>
      <c r="AG70" s="106">
        <f>'Calcs - Price x Vol'!AG48*'Calcs - Discounted cash flows'!$E19</f>
        <v>604.90896081003507</v>
      </c>
      <c r="AH70" s="106">
        <f>'Calcs - Price x Vol'!AH48*'Calcs - Discounted cash flows'!$E19</f>
        <v>0</v>
      </c>
      <c r="AI70" s="107">
        <f>'Calcs - Price x Vol'!AI48*'Calcs - Discounted cash flows'!$E19</f>
        <v>1512.272402025088</v>
      </c>
    </row>
    <row r="71" spans="1:35" x14ac:dyDescent="0.25">
      <c r="A71" s="317"/>
      <c r="C71" s="351"/>
      <c r="D71" s="254" t="s">
        <v>193</v>
      </c>
      <c r="E71" s="102">
        <f>SUM(E59:E70)</f>
        <v>0</v>
      </c>
      <c r="F71" s="102" t="e">
        <f>SUM(F59:F70)</f>
        <v>#VALUE!</v>
      </c>
      <c r="G71" s="103">
        <f>SUM(G59:G70)</f>
        <v>0</v>
      </c>
      <c r="H71" s="68" t="s">
        <v>204</v>
      </c>
      <c r="I71" s="69"/>
      <c r="J71" s="351"/>
      <c r="K71" s="254" t="s">
        <v>193</v>
      </c>
      <c r="L71" s="102">
        <f>SUM(L59:L70)</f>
        <v>480.47036481460941</v>
      </c>
      <c r="M71" s="102" t="e">
        <f>SUM(M59:M70)</f>
        <v>#VALUE!</v>
      </c>
      <c r="N71" s="103">
        <f>SUM(N59:N70)</f>
        <v>1373.2594533849215</v>
      </c>
      <c r="Q71" s="351"/>
      <c r="R71" s="254" t="s">
        <v>193</v>
      </c>
      <c r="S71" s="102">
        <f>SUM(S59:S70)</f>
        <v>1126.5095284937713</v>
      </c>
      <c r="T71" s="102" t="e">
        <f>SUM(T59:T70)</f>
        <v>#VALUE!</v>
      </c>
      <c r="U71" s="103">
        <f>SUM(U59:U70)</f>
        <v>3219.7404306697913</v>
      </c>
      <c r="X71" s="351"/>
      <c r="Y71" s="254" t="s">
        <v>193</v>
      </c>
      <c r="Z71" s="102">
        <f>SUM(Z59:Z70)</f>
        <v>1772.5486921729344</v>
      </c>
      <c r="AA71" s="102" t="e">
        <f>SUM(AA59:AA70)</f>
        <v>#VALUE!</v>
      </c>
      <c r="AB71" s="103">
        <f>SUM(AB59:AB70)</f>
        <v>5066.2214079546648</v>
      </c>
      <c r="AE71" s="351"/>
      <c r="AF71" s="254" t="s">
        <v>193</v>
      </c>
      <c r="AG71" s="102">
        <f>SUM(AG59:AG70)</f>
        <v>2418.5878558520963</v>
      </c>
      <c r="AH71" s="102" t="e">
        <f>SUM(AH59:AH70)</f>
        <v>#VALUE!</v>
      </c>
      <c r="AI71" s="103">
        <f>SUM(AI59:AI70)</f>
        <v>6912.7023852395341</v>
      </c>
    </row>
  </sheetData>
  <mergeCells count="23">
    <mergeCell ref="A4:A19"/>
    <mergeCell ref="A28:A71"/>
    <mergeCell ref="C28:C41"/>
    <mergeCell ref="C58:C71"/>
    <mergeCell ref="C43:C56"/>
    <mergeCell ref="H5:I5"/>
    <mergeCell ref="H4:I4"/>
    <mergeCell ref="F5:G5"/>
    <mergeCell ref="D5:E5"/>
    <mergeCell ref="F4:G4"/>
    <mergeCell ref="D4:E4"/>
    <mergeCell ref="J28:J41"/>
    <mergeCell ref="J43:J56"/>
    <mergeCell ref="J58:J71"/>
    <mergeCell ref="Q28:Q41"/>
    <mergeCell ref="Q43:Q56"/>
    <mergeCell ref="Q58:Q71"/>
    <mergeCell ref="X28:X41"/>
    <mergeCell ref="X43:X56"/>
    <mergeCell ref="X58:X71"/>
    <mergeCell ref="AE28:AE41"/>
    <mergeCell ref="AE43:AE56"/>
    <mergeCell ref="AE58:AE7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6541F-418D-4DA2-9B80-D1A45CC43405}">
  <sheetPr codeName="Sheet1">
    <tabColor rgb="FF7030A0"/>
  </sheetPr>
  <dimension ref="A1:M65"/>
  <sheetViews>
    <sheetView topLeftCell="B1" zoomScaleNormal="100" workbookViewId="0">
      <selection activeCell="D11" sqref="D11"/>
    </sheetView>
  </sheetViews>
  <sheetFormatPr defaultRowHeight="15" x14ac:dyDescent="0.25"/>
  <cols>
    <col min="1" max="1" width="30.5703125" customWidth="1"/>
    <col min="2" max="2" width="4.5703125" customWidth="1"/>
    <col min="3" max="4" width="30.5703125" customWidth="1"/>
    <col min="5" max="5" width="30.5703125" style="3" customWidth="1"/>
    <col min="6" max="7" width="30.5703125" customWidth="1"/>
    <col min="8" max="8" width="12.5703125" customWidth="1"/>
    <col min="9" max="9" width="14" customWidth="1"/>
    <col min="13" max="13" width="37.140625" customWidth="1"/>
  </cols>
  <sheetData>
    <row r="1" spans="3:13" ht="16.5" thickTop="1" thickBot="1" x14ac:dyDescent="0.3">
      <c r="C1" t="s">
        <v>45</v>
      </c>
      <c r="D1" t="s">
        <v>56</v>
      </c>
      <c r="E1" s="197" t="e">
        <f ca="1">Checks!$D$17</f>
        <v>#VALUE!</v>
      </c>
      <c r="F1" t="s">
        <v>57</v>
      </c>
      <c r="G1" s="197"/>
    </row>
    <row r="2" spans="3:13" ht="19.5" thickTop="1" x14ac:dyDescent="0.3">
      <c r="C2" s="6" t="s">
        <v>205</v>
      </c>
    </row>
    <row r="4" spans="3:13" ht="29.1" customHeight="1" x14ac:dyDescent="0.25">
      <c r="D4" s="368" t="s">
        <v>206</v>
      </c>
      <c r="E4" s="369"/>
      <c r="F4" s="369"/>
      <c r="G4" s="369"/>
      <c r="H4" s="369"/>
      <c r="I4" s="370"/>
    </row>
    <row r="5" spans="3:13" ht="32.25" customHeight="1" x14ac:dyDescent="0.25">
      <c r="D5" s="168"/>
      <c r="E5" s="261">
        <f>Inputs!D38</f>
        <v>51</v>
      </c>
      <c r="F5" s="261">
        <f>Inputs!E38</f>
        <v>55</v>
      </c>
      <c r="G5" s="261">
        <f>Inputs!F38</f>
        <v>60</v>
      </c>
      <c r="H5" s="261">
        <f>Inputs!G38</f>
        <v>65</v>
      </c>
      <c r="I5" s="30">
        <f>Inputs!H38</f>
        <v>70</v>
      </c>
      <c r="J5" s="3"/>
    </row>
    <row r="6" spans="3:13" ht="32.25" customHeight="1" x14ac:dyDescent="0.25">
      <c r="D6" s="258" t="s">
        <v>207</v>
      </c>
      <c r="E6" s="270">
        <f>ROUND(Inputs!D40, 2)</f>
        <v>240</v>
      </c>
      <c r="F6" s="271">
        <f>ROUND(Inputs!E40, 2)</f>
        <v>230.34</v>
      </c>
      <c r="G6" s="271">
        <f>ROUND(Inputs!F40, 2)</f>
        <v>217.35</v>
      </c>
      <c r="H6" s="271">
        <f>ROUND(Inputs!G40, 2)</f>
        <v>204.35</v>
      </c>
      <c r="I6" s="272">
        <f>ROUND(Inputs!H40, 2)</f>
        <v>191.36</v>
      </c>
    </row>
    <row r="7" spans="3:13" ht="32.25" customHeight="1" x14ac:dyDescent="0.25">
      <c r="D7" s="259" t="s">
        <v>208</v>
      </c>
      <c r="E7" s="273">
        <f>ROUND(Inputs!$D$35-Inputs!D40, 2)</f>
        <v>0</v>
      </c>
      <c r="F7" s="274">
        <f>ROUND(Inputs!$D$35-Inputs!E40, 2)</f>
        <v>9.66</v>
      </c>
      <c r="G7" s="274">
        <f>ROUND(Inputs!$D$35-Inputs!F40, 2)</f>
        <v>22.65</v>
      </c>
      <c r="H7" s="274">
        <f>ROUND(Inputs!$D$35-Inputs!G40, 2)</f>
        <v>35.65</v>
      </c>
      <c r="I7" s="275">
        <f>ROUND(Inputs!$D$35-Inputs!H40, 2)</f>
        <v>48.64</v>
      </c>
    </row>
    <row r="8" spans="3:13" ht="32.25" customHeight="1" x14ac:dyDescent="0.25">
      <c r="D8" s="259" t="s">
        <v>209</v>
      </c>
      <c r="E8" s="273" t="str">
        <f>"NZ$"&amp;ROUND(AVERAGE('Calcs - Price Scenarios'!$J$7:$J$8), 0)&amp;"-"&amp;ROUND(AVERAGE('Calcs - Price Scenarios'!$J$5:$J$6), 0)</f>
        <v>NZ$60-173</v>
      </c>
      <c r="F8" s="274" t="str">
        <f>"NZ$"&amp;ROUND(AVERAGE('Calcs - Price Scenarios'!$J$7:$J$8), 0)&amp;"-"&amp;ROUND(AVERAGE('Calcs - Price Scenarios'!$J$5:$J$6), 0)</f>
        <v>NZ$60-173</v>
      </c>
      <c r="G8" s="274" t="str">
        <f>"NZ$"&amp;ROUND(AVERAGE('Calcs - Price Scenarios'!$J$7:$J$8), 0)&amp;"-"&amp;ROUND(AVERAGE('Calcs - Price Scenarios'!$J$5:$J$6), 0)</f>
        <v>NZ$60-173</v>
      </c>
      <c r="H8" s="274" t="str">
        <f>"NZ$"&amp;ROUND(AVERAGE('Calcs - Price Scenarios'!$J$7:$J$8), 0)&amp;"-"&amp;ROUND(AVERAGE('Calcs - Price Scenarios'!$J$5:$J$6), 0)</f>
        <v>NZ$60-173</v>
      </c>
      <c r="I8" s="275" t="str">
        <f>"NZ$"&amp;ROUND(AVERAGE('Calcs - Price Scenarios'!$J$7:$J$8), 0)&amp;"-"&amp;ROUND(AVERAGE('Calcs - Price Scenarios'!$J$5:$J$6), 0)</f>
        <v>NZ$60-173</v>
      </c>
      <c r="M8" s="192" t="s">
        <v>210</v>
      </c>
    </row>
    <row r="9" spans="3:13" ht="30" x14ac:dyDescent="0.25">
      <c r="D9" s="260" t="s">
        <v>211</v>
      </c>
      <c r="E9" s="276" t="e">
        <f>IF(MAX($E28:$G28)&gt;0, ROUND(MIN($E28:$G28)/1000,1)&amp;"-"&amp;ROUND(MAX($E28:$G28)/1000,1), 0)</f>
        <v>#VALUE!</v>
      </c>
      <c r="F9" s="277" t="e">
        <f>IF(MAX($E37:$G37)&gt;0, ROUND(MIN($E37:$G37)/1000,1)&amp;"-"&amp;ROUND(MAX($E37:$G37)/1000,1), 0)</f>
        <v>#VALUE!</v>
      </c>
      <c r="G9" s="277" t="e">
        <f>IF(MAX($E46:$G46)&gt;0, ROUND(MIN($E46:$G46)/1000,1)&amp;"-"&amp;ROUND(MAX($E46:$G46)/1000,1), 0)</f>
        <v>#VALUE!</v>
      </c>
      <c r="H9" s="277" t="e">
        <f>IF(MAX($E55:$G55)&gt;0, ROUND(MIN($E55:$G55)/1000,1)&amp;"-"&amp;ROUND(MAX($E55:$G55)/1000,1), 0)</f>
        <v>#VALUE!</v>
      </c>
      <c r="I9" s="278" t="e">
        <f>IF(MAX($E64:$G64)&gt;0, ROUND(MIN($E64:$G64)/1000,1)&amp;"-"&amp;ROUND(MAX($E64:$G64)/1000,1), 0)</f>
        <v>#VALUE!</v>
      </c>
    </row>
    <row r="10" spans="3:13" ht="45" x14ac:dyDescent="0.25">
      <c r="D10" s="310" t="s">
        <v>212</v>
      </c>
      <c r="E10" s="311" t="e">
        <f>ROUND(F28/1000, 1)</f>
        <v>#VALUE!</v>
      </c>
      <c r="F10" s="312" t="e">
        <f>ROUND(F37/1000, 1)</f>
        <v>#VALUE!</v>
      </c>
      <c r="G10" s="312" t="e">
        <f>ROUND(F46/1000, 1)</f>
        <v>#VALUE!</v>
      </c>
      <c r="H10" s="312" t="e">
        <f>ROUND(F55/1000, 1)</f>
        <v>#VALUE!</v>
      </c>
      <c r="I10" s="313" t="e">
        <f>ROUND(F64/1000, 1)</f>
        <v>#VALUE!</v>
      </c>
    </row>
    <row r="23" spans="1:7" ht="18.75" x14ac:dyDescent="0.3">
      <c r="C23" s="6" t="s">
        <v>202</v>
      </c>
      <c r="D23" s="294">
        <f>Inputs!$D$38</f>
        <v>51</v>
      </c>
    </row>
    <row r="24" spans="1:7" x14ac:dyDescent="0.25">
      <c r="A24" s="61" t="s">
        <v>48</v>
      </c>
    </row>
    <row r="25" spans="1:7" x14ac:dyDescent="0.25">
      <c r="A25" s="315" t="s">
        <v>213</v>
      </c>
      <c r="C25" s="358" t="s">
        <v>214</v>
      </c>
      <c r="D25" s="359"/>
      <c r="E25" s="362" t="s">
        <v>215</v>
      </c>
      <c r="F25" s="363"/>
      <c r="G25" s="364"/>
    </row>
    <row r="26" spans="1:7" ht="30" x14ac:dyDescent="0.25">
      <c r="A26" s="316"/>
      <c r="C26" s="360"/>
      <c r="D26" s="361"/>
      <c r="E26" s="28" t="str">
        <f>Inputs!$C$52</f>
        <v>IEA - Emerging and developed economies</v>
      </c>
      <c r="F26" s="28" t="s">
        <v>192</v>
      </c>
      <c r="G26" s="247" t="str">
        <f>Inputs!$C$50</f>
        <v>IEA - Selected EMDE with net zero targets scenario</v>
      </c>
    </row>
    <row r="27" spans="1:7" ht="30" x14ac:dyDescent="0.25">
      <c r="A27" s="316"/>
      <c r="C27" s="365" t="s">
        <v>216</v>
      </c>
      <c r="D27" s="94" t="s">
        <v>217</v>
      </c>
      <c r="E27" s="110">
        <f>'Calcs - Discounted cash flows'!E41</f>
        <v>0</v>
      </c>
      <c r="F27" s="110" t="e">
        <f>'Calcs - Discounted cash flows'!F41</f>
        <v>#VALUE!</v>
      </c>
      <c r="G27" s="110">
        <f>'Calcs - Discounted cash flows'!G41</f>
        <v>0</v>
      </c>
    </row>
    <row r="28" spans="1:7" ht="30" x14ac:dyDescent="0.25">
      <c r="A28" s="316"/>
      <c r="C28" s="366"/>
      <c r="D28" s="95" t="s">
        <v>218</v>
      </c>
      <c r="E28" s="110">
        <f>'Calcs - Discounted cash flows'!E71</f>
        <v>0</v>
      </c>
      <c r="F28" s="110" t="e">
        <f>'Calcs - Discounted cash flows'!F71</f>
        <v>#VALUE!</v>
      </c>
      <c r="G28" s="110">
        <f>'Calcs - Discounted cash flows'!G71</f>
        <v>0</v>
      </c>
    </row>
    <row r="29" spans="1:7" ht="30" x14ac:dyDescent="0.25">
      <c r="A29" s="317"/>
      <c r="C29" s="367"/>
      <c r="D29" s="94" t="s">
        <v>219</v>
      </c>
      <c r="E29" s="110">
        <f>'Calcs - Discounted cash flows'!E56</f>
        <v>0</v>
      </c>
      <c r="F29" s="110" t="e">
        <f>'Calcs - Discounted cash flows'!F56</f>
        <v>#VALUE!</v>
      </c>
      <c r="G29" s="110">
        <f>'Calcs - Discounted cash flows'!G56</f>
        <v>0</v>
      </c>
    </row>
    <row r="32" spans="1:7" ht="18.75" x14ac:dyDescent="0.3">
      <c r="C32" s="6" t="s">
        <v>202</v>
      </c>
      <c r="D32" s="294">
        <f>Inputs!$E$38</f>
        <v>55</v>
      </c>
    </row>
    <row r="33" spans="1:7" x14ac:dyDescent="0.25">
      <c r="A33" s="61"/>
    </row>
    <row r="34" spans="1:7" x14ac:dyDescent="0.25">
      <c r="C34" s="358" t="s">
        <v>214</v>
      </c>
      <c r="D34" s="359"/>
      <c r="E34" s="362" t="s">
        <v>215</v>
      </c>
      <c r="F34" s="363"/>
      <c r="G34" s="364"/>
    </row>
    <row r="35" spans="1:7" ht="30" x14ac:dyDescent="0.25">
      <c r="C35" s="360"/>
      <c r="D35" s="361"/>
      <c r="E35" s="28" t="str">
        <f>Inputs!$C$52</f>
        <v>IEA - Emerging and developed economies</v>
      </c>
      <c r="F35" s="28" t="s">
        <v>192</v>
      </c>
      <c r="G35" s="247" t="str">
        <f>Inputs!$C$50</f>
        <v>IEA - Selected EMDE with net zero targets scenario</v>
      </c>
    </row>
    <row r="36" spans="1:7" ht="30" x14ac:dyDescent="0.25">
      <c r="C36" s="365" t="s">
        <v>216</v>
      </c>
      <c r="D36" s="94" t="s">
        <v>217</v>
      </c>
      <c r="E36" s="110">
        <f>'Calcs - Discounted cash flows'!L41</f>
        <v>480.47036481460941</v>
      </c>
      <c r="F36" s="110" t="e">
        <f>'Calcs - Discounted cash flows'!M41</f>
        <v>#VALUE!</v>
      </c>
      <c r="G36" s="110">
        <f>'Calcs - Discounted cash flows'!N41</f>
        <v>1373.2594533849215</v>
      </c>
    </row>
    <row r="37" spans="1:7" ht="30" x14ac:dyDescent="0.25">
      <c r="C37" s="366"/>
      <c r="D37" s="95" t="s">
        <v>218</v>
      </c>
      <c r="E37" s="110">
        <f>'Calcs - Discounted cash flows'!L56</f>
        <v>480.47036481460941</v>
      </c>
      <c r="F37" s="110" t="e">
        <f>'Calcs - Discounted cash flows'!M56</f>
        <v>#VALUE!</v>
      </c>
      <c r="G37" s="110">
        <f>'Calcs - Discounted cash flows'!N56</f>
        <v>1373.2594533849215</v>
      </c>
    </row>
    <row r="38" spans="1:7" ht="30" x14ac:dyDescent="0.25">
      <c r="C38" s="367"/>
      <c r="D38" s="94" t="s">
        <v>219</v>
      </c>
      <c r="E38" s="110">
        <f>'Calcs - Discounted cash flows'!L71</f>
        <v>480.47036481460941</v>
      </c>
      <c r="F38" s="110" t="e">
        <f>'Calcs - Discounted cash flows'!M71</f>
        <v>#VALUE!</v>
      </c>
      <c r="G38" s="110">
        <f>'Calcs - Discounted cash flows'!N71</f>
        <v>1373.2594533849215</v>
      </c>
    </row>
    <row r="41" spans="1:7" ht="18.75" x14ac:dyDescent="0.3">
      <c r="C41" s="6" t="s">
        <v>202</v>
      </c>
      <c r="D41" s="294">
        <f>Inputs!$F$38</f>
        <v>60</v>
      </c>
    </row>
    <row r="43" spans="1:7" x14ac:dyDescent="0.25">
      <c r="C43" s="358" t="s">
        <v>214</v>
      </c>
      <c r="D43" s="359"/>
      <c r="E43" s="362" t="s">
        <v>215</v>
      </c>
      <c r="F43" s="363"/>
      <c r="G43" s="364"/>
    </row>
    <row r="44" spans="1:7" ht="30" x14ac:dyDescent="0.25">
      <c r="C44" s="360"/>
      <c r="D44" s="361"/>
      <c r="E44" s="28" t="str">
        <f>Inputs!$C$52</f>
        <v>IEA - Emerging and developed economies</v>
      </c>
      <c r="F44" s="76" t="s">
        <v>192</v>
      </c>
      <c r="G44" s="247" t="str">
        <f>Inputs!$C$50</f>
        <v>IEA - Selected EMDE with net zero targets scenario</v>
      </c>
    </row>
    <row r="45" spans="1:7" ht="30" x14ac:dyDescent="0.25">
      <c r="C45" s="365" t="s">
        <v>216</v>
      </c>
      <c r="D45" s="94" t="s">
        <v>217</v>
      </c>
      <c r="E45" s="110">
        <f>'Calcs - Discounted cash flows'!S41</f>
        <v>1126.5095284937713</v>
      </c>
      <c r="F45" s="110" t="e">
        <f>'Calcs - Discounted cash flows'!T41</f>
        <v>#VALUE!</v>
      </c>
      <c r="G45" s="110">
        <f>'Calcs - Discounted cash flows'!U41</f>
        <v>3219.7404306697913</v>
      </c>
    </row>
    <row r="46" spans="1:7" ht="30" x14ac:dyDescent="0.25">
      <c r="C46" s="366"/>
      <c r="D46" s="95" t="s">
        <v>218</v>
      </c>
      <c r="E46" s="110">
        <f>'Calcs - Discounted cash flows'!S56</f>
        <v>1126.5095284937713</v>
      </c>
      <c r="F46" s="110" t="e">
        <f>'Calcs - Discounted cash flows'!T56</f>
        <v>#VALUE!</v>
      </c>
      <c r="G46" s="110">
        <f>'Calcs - Discounted cash flows'!U56</f>
        <v>3219.7404306697913</v>
      </c>
    </row>
    <row r="47" spans="1:7" ht="30" x14ac:dyDescent="0.25">
      <c r="C47" s="367"/>
      <c r="D47" s="94" t="s">
        <v>219</v>
      </c>
      <c r="E47" s="110">
        <f>'Calcs - Discounted cash flows'!S71</f>
        <v>1126.5095284937713</v>
      </c>
      <c r="F47" s="110" t="e">
        <f>'Calcs - Discounted cash flows'!T71</f>
        <v>#VALUE!</v>
      </c>
      <c r="G47" s="110">
        <f>'Calcs - Discounted cash flows'!U71</f>
        <v>3219.7404306697913</v>
      </c>
    </row>
    <row r="50" spans="3:7" ht="18.75" x14ac:dyDescent="0.3">
      <c r="C50" s="6" t="s">
        <v>202</v>
      </c>
      <c r="D50" s="294">
        <f>Inputs!$G$38</f>
        <v>65</v>
      </c>
    </row>
    <row r="52" spans="3:7" x14ac:dyDescent="0.25">
      <c r="C52" s="358" t="s">
        <v>214</v>
      </c>
      <c r="D52" s="359"/>
      <c r="E52" s="362" t="s">
        <v>215</v>
      </c>
      <c r="F52" s="363"/>
      <c r="G52" s="364"/>
    </row>
    <row r="53" spans="3:7" ht="30" x14ac:dyDescent="0.25">
      <c r="C53" s="360"/>
      <c r="D53" s="361"/>
      <c r="E53" s="28" t="str">
        <f>Inputs!$C$52</f>
        <v>IEA - Emerging and developed economies</v>
      </c>
      <c r="F53" s="76" t="s">
        <v>192</v>
      </c>
      <c r="G53" s="247" t="str">
        <f>Inputs!$C$50</f>
        <v>IEA - Selected EMDE with net zero targets scenario</v>
      </c>
    </row>
    <row r="54" spans="3:7" ht="30" x14ac:dyDescent="0.25">
      <c r="C54" s="365" t="s">
        <v>216</v>
      </c>
      <c r="D54" s="94" t="s">
        <v>217</v>
      </c>
      <c r="E54" s="110">
        <f>'Calcs - Discounted cash flows'!Z41</f>
        <v>1772.5486921729344</v>
      </c>
      <c r="F54" s="110" t="e">
        <f>'Calcs - Discounted cash flows'!AA41</f>
        <v>#VALUE!</v>
      </c>
      <c r="G54" s="110">
        <f>'Calcs - Discounted cash flows'!AB41</f>
        <v>5066.2214079546648</v>
      </c>
    </row>
    <row r="55" spans="3:7" ht="30" x14ac:dyDescent="0.25">
      <c r="C55" s="366"/>
      <c r="D55" s="95" t="s">
        <v>218</v>
      </c>
      <c r="E55" s="110">
        <f>'Calcs - Discounted cash flows'!Z56</f>
        <v>1772.5486921729344</v>
      </c>
      <c r="F55" s="110" t="e">
        <f>'Calcs - Discounted cash flows'!AA56</f>
        <v>#VALUE!</v>
      </c>
      <c r="G55" s="110">
        <f>'Calcs - Discounted cash flows'!AB56</f>
        <v>5066.2214079546648</v>
      </c>
    </row>
    <row r="56" spans="3:7" ht="30" x14ac:dyDescent="0.25">
      <c r="C56" s="367"/>
      <c r="D56" s="94" t="s">
        <v>219</v>
      </c>
      <c r="E56" s="110">
        <f>'Calcs - Discounted cash flows'!Z71</f>
        <v>1772.5486921729344</v>
      </c>
      <c r="F56" s="110" t="e">
        <f>'Calcs - Discounted cash flows'!AA71</f>
        <v>#VALUE!</v>
      </c>
      <c r="G56" s="110">
        <f>'Calcs - Discounted cash flows'!AB71</f>
        <v>5066.2214079546648</v>
      </c>
    </row>
    <row r="59" spans="3:7" ht="18.75" x14ac:dyDescent="0.3">
      <c r="C59" s="6" t="s">
        <v>202</v>
      </c>
      <c r="D59" s="294">
        <f>Inputs!$H$38</f>
        <v>70</v>
      </c>
    </row>
    <row r="61" spans="3:7" x14ac:dyDescent="0.25">
      <c r="C61" s="358" t="s">
        <v>214</v>
      </c>
      <c r="D61" s="359"/>
      <c r="E61" s="362" t="s">
        <v>215</v>
      </c>
      <c r="F61" s="363"/>
      <c r="G61" s="364"/>
    </row>
    <row r="62" spans="3:7" ht="30" x14ac:dyDescent="0.25">
      <c r="C62" s="360"/>
      <c r="D62" s="361"/>
      <c r="E62" s="28" t="str">
        <f>Inputs!$C$52</f>
        <v>IEA - Emerging and developed economies</v>
      </c>
      <c r="F62" s="28" t="s">
        <v>192</v>
      </c>
      <c r="G62" s="247" t="str">
        <f>Inputs!$C$50</f>
        <v>IEA - Selected EMDE with net zero targets scenario</v>
      </c>
    </row>
    <row r="63" spans="3:7" ht="30" x14ac:dyDescent="0.25">
      <c r="C63" s="365" t="s">
        <v>216</v>
      </c>
      <c r="D63" s="94" t="s">
        <v>217</v>
      </c>
      <c r="E63" s="110">
        <f>'Calcs - Discounted cash flows'!AG41</f>
        <v>2418.5878558520963</v>
      </c>
      <c r="F63" s="110" t="e">
        <f>'Calcs - Discounted cash flows'!AH41</f>
        <v>#VALUE!</v>
      </c>
      <c r="G63" s="110">
        <f>'Calcs - Discounted cash flows'!AI41</f>
        <v>6912.7023852395341</v>
      </c>
    </row>
    <row r="64" spans="3:7" ht="30" x14ac:dyDescent="0.25">
      <c r="C64" s="366"/>
      <c r="D64" s="95" t="s">
        <v>218</v>
      </c>
      <c r="E64" s="110">
        <f>'Calcs - Discounted cash flows'!AG56</f>
        <v>2418.5878558520963</v>
      </c>
      <c r="F64" s="110" t="e">
        <f>'Calcs - Discounted cash flows'!AH56</f>
        <v>#VALUE!</v>
      </c>
      <c r="G64" s="110">
        <f>'Calcs - Discounted cash flows'!AI56</f>
        <v>6912.7023852395341</v>
      </c>
    </row>
    <row r="65" spans="3:7" ht="30" x14ac:dyDescent="0.25">
      <c r="C65" s="367"/>
      <c r="D65" s="94" t="s">
        <v>219</v>
      </c>
      <c r="E65" s="110">
        <f>'Calcs - Discounted cash flows'!AG71</f>
        <v>2418.5878558520963</v>
      </c>
      <c r="F65" s="110" t="e">
        <f>'Calcs - Discounted cash flows'!AH71</f>
        <v>#VALUE!</v>
      </c>
      <c r="G65" s="110">
        <f>'Calcs - Discounted cash flows'!AI71</f>
        <v>6912.7023852395341</v>
      </c>
    </row>
  </sheetData>
  <mergeCells count="17">
    <mergeCell ref="A25:A29"/>
    <mergeCell ref="C34:D35"/>
    <mergeCell ref="E34:G34"/>
    <mergeCell ref="C36:C38"/>
    <mergeCell ref="C54:C56"/>
    <mergeCell ref="C61:D62"/>
    <mergeCell ref="E61:G61"/>
    <mergeCell ref="C63:C65"/>
    <mergeCell ref="D4:I4"/>
    <mergeCell ref="C43:D44"/>
    <mergeCell ref="E43:G43"/>
    <mergeCell ref="C45:C47"/>
    <mergeCell ref="C52:D53"/>
    <mergeCell ref="E52:G52"/>
    <mergeCell ref="C27:C29"/>
    <mergeCell ref="E25:G25"/>
    <mergeCell ref="C25:D26"/>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5B2A0-1784-469F-A63B-8F33C1A96C07}">
  <sheetPr codeName="Sheet14">
    <tabColor rgb="FF9954CC"/>
  </sheetPr>
  <dimension ref="A1:I131"/>
  <sheetViews>
    <sheetView workbookViewId="0">
      <selection activeCell="E13" sqref="E13:E18"/>
    </sheetView>
  </sheetViews>
  <sheetFormatPr defaultRowHeight="15" x14ac:dyDescent="0.25"/>
  <cols>
    <col min="1" max="1" width="30.5703125" customWidth="1"/>
    <col min="2" max="2" width="4.5703125" customWidth="1"/>
    <col min="3" max="3" width="30.5703125" customWidth="1"/>
    <col min="4" max="4" width="30.5703125" style="15" customWidth="1"/>
    <col min="5" max="7" width="30.5703125" style="3" customWidth="1"/>
  </cols>
  <sheetData>
    <row r="1" spans="1:9" ht="16.5" thickTop="1" thickBot="1" x14ac:dyDescent="0.3">
      <c r="C1" t="s">
        <v>45</v>
      </c>
      <c r="D1" t="s">
        <v>56</v>
      </c>
      <c r="E1" s="197" t="e">
        <f ca="1">Checks!$D$17</f>
        <v>#VALUE!</v>
      </c>
      <c r="F1" t="s">
        <v>57</v>
      </c>
      <c r="G1" s="197">
        <f ca="1">SUM(E7:E8)</f>
        <v>0</v>
      </c>
    </row>
    <row r="2" spans="1:9" ht="18" thickTop="1" x14ac:dyDescent="0.3">
      <c r="C2" s="8" t="s">
        <v>220</v>
      </c>
    </row>
    <row r="3" spans="1:9" ht="17.25" x14ac:dyDescent="0.3">
      <c r="C3" s="8"/>
    </row>
    <row r="4" spans="1:9" ht="17.25" x14ac:dyDescent="0.3">
      <c r="C4" s="8" t="s">
        <v>221</v>
      </c>
      <c r="D4" s="262">
        <v>65</v>
      </c>
      <c r="E4" s="371" t="s">
        <v>222</v>
      </c>
      <c r="I4" s="15"/>
    </row>
    <row r="5" spans="1:9" ht="17.25" x14ac:dyDescent="0.3">
      <c r="C5" s="8" t="s">
        <v>223</v>
      </c>
      <c r="D5" s="262" t="s">
        <v>166</v>
      </c>
      <c r="E5" s="371"/>
    </row>
    <row r="6" spans="1:9" ht="15.75" thickBot="1" x14ac:dyDescent="0.3">
      <c r="C6" t="s">
        <v>224</v>
      </c>
      <c r="D6" s="251">
        <f>MATCH(D4, 'Calcs - Volume Scenarios'!$E$23:$AG$23)</f>
        <v>22</v>
      </c>
    </row>
    <row r="7" spans="1:9" ht="16.5" thickTop="1" thickBot="1" x14ac:dyDescent="0.3">
      <c r="C7" t="s">
        <v>225</v>
      </c>
      <c r="D7" s="251" cm="1">
        <f t="array" ref="D7">_xlfn.IFS(D5="Back-Loaded", 25, D5="Front-loaded", 40)</f>
        <v>40</v>
      </c>
      <c r="E7" s="268">
        <f ca="1">--(NOT(OFFSET('Calcs - Volume Scenarios'!$D$23, D7-1, D6-2) = D5))</f>
        <v>0</v>
      </c>
      <c r="F7" s="269" t="s">
        <v>226</v>
      </c>
    </row>
    <row r="8" spans="1:9" ht="16.5" thickTop="1" thickBot="1" x14ac:dyDescent="0.3">
      <c r="D8" s="251"/>
      <c r="E8" s="197">
        <f ca="1">--(NOT(OFFSET('Calcs - Discounted cash flows'!$C$26, 32, D6-1) = C60))</f>
        <v>0</v>
      </c>
      <c r="F8" s="269" t="s">
        <v>227</v>
      </c>
    </row>
    <row r="9" spans="1:9" ht="18" thickTop="1" x14ac:dyDescent="0.3">
      <c r="C9" s="8"/>
    </row>
    <row r="10" spans="1:9" ht="30" x14ac:dyDescent="0.25">
      <c r="A10" s="61" t="s">
        <v>48</v>
      </c>
      <c r="C10" s="331" t="s">
        <v>164</v>
      </c>
      <c r="D10" s="132" t="s">
        <v>60</v>
      </c>
      <c r="E10" s="180" t="str">
        <f>'Calcs - Price Scenarios'!$D$25</f>
        <v>IEA - Emerging and developed economies</v>
      </c>
      <c r="F10" s="180" t="str">
        <f>'Calcs - Price Scenarios'!$E$25</f>
        <v>Indicative current price</v>
      </c>
      <c r="G10" s="180" t="str">
        <f>'Calcs - Price Scenarios'!$F$25</f>
        <v>IEA - Selected EMDE with net zero targets scenario</v>
      </c>
    </row>
    <row r="11" spans="1:9" x14ac:dyDescent="0.25">
      <c r="A11" s="318" t="s">
        <v>228</v>
      </c>
      <c r="C11" s="332"/>
      <c r="D11" s="124">
        <v>2024</v>
      </c>
      <c r="E11" s="234" cm="1">
        <f t="array" aca="1" ref="E11:G22" ca="1">OFFSET('Calcs - Volume Scenarios'!$D$23, $D$7,$D$6, 12,3)</f>
        <v>0</v>
      </c>
      <c r="F11" s="49">
        <f ca="1"/>
        <v>0</v>
      </c>
      <c r="G11" s="50">
        <f ca="1"/>
        <v>0</v>
      </c>
    </row>
    <row r="12" spans="1:9" x14ac:dyDescent="0.25">
      <c r="A12" s="314"/>
      <c r="C12" s="332"/>
      <c r="D12" s="89">
        <v>2025</v>
      </c>
      <c r="E12" s="230">
        <f ca="1"/>
        <v>0</v>
      </c>
      <c r="F12" s="229">
        <f ca="1"/>
        <v>0</v>
      </c>
      <c r="G12" s="51">
        <f ca="1"/>
        <v>0</v>
      </c>
    </row>
    <row r="13" spans="1:9" x14ac:dyDescent="0.25">
      <c r="A13" s="314"/>
      <c r="C13" s="332"/>
      <c r="D13" s="89">
        <v>2026</v>
      </c>
      <c r="E13" s="230">
        <f ca="1"/>
        <v>3.5647213667997621</v>
      </c>
      <c r="F13" s="229">
        <f ca="1"/>
        <v>3.5647213667997621</v>
      </c>
      <c r="G13" s="51">
        <f ca="1"/>
        <v>3.5647213667997621</v>
      </c>
    </row>
    <row r="14" spans="1:9" x14ac:dyDescent="0.25">
      <c r="A14" s="314"/>
      <c r="C14" s="332"/>
      <c r="D14" s="89">
        <v>2027</v>
      </c>
      <c r="E14" s="230">
        <f ca="1"/>
        <v>7.1294427335995243</v>
      </c>
      <c r="F14" s="229">
        <f ca="1"/>
        <v>7.1294427335995243</v>
      </c>
      <c r="G14" s="51">
        <f ca="1"/>
        <v>7.1294427335995243</v>
      </c>
    </row>
    <row r="15" spans="1:9" x14ac:dyDescent="0.25">
      <c r="A15" s="314"/>
      <c r="C15" s="332"/>
      <c r="D15" s="89">
        <v>2028</v>
      </c>
      <c r="E15" s="230">
        <f ca="1"/>
        <v>7.1294427335995243</v>
      </c>
      <c r="F15" s="229">
        <f ca="1"/>
        <v>7.1294427335995243</v>
      </c>
      <c r="G15" s="51">
        <f ca="1"/>
        <v>7.1294427335995243</v>
      </c>
    </row>
    <row r="16" spans="1:9" x14ac:dyDescent="0.25">
      <c r="A16" s="314"/>
      <c r="C16" s="332"/>
      <c r="D16" s="89">
        <v>2029</v>
      </c>
      <c r="E16" s="230">
        <f ca="1"/>
        <v>7.1294427335995243</v>
      </c>
      <c r="F16" s="229">
        <f ca="1"/>
        <v>7.1294427335995243</v>
      </c>
      <c r="G16" s="51">
        <f ca="1"/>
        <v>7.1294427335995243</v>
      </c>
    </row>
    <row r="17" spans="1:7" x14ac:dyDescent="0.25">
      <c r="A17" s="314"/>
      <c r="C17" s="332"/>
      <c r="D17" s="89">
        <v>2030</v>
      </c>
      <c r="E17" s="230">
        <f ca="1"/>
        <v>7.1294427335995243</v>
      </c>
      <c r="F17" s="229">
        <f ca="1"/>
        <v>7.1294427335995243</v>
      </c>
      <c r="G17" s="51">
        <f ca="1"/>
        <v>7.1294427335995243</v>
      </c>
    </row>
    <row r="18" spans="1:7" x14ac:dyDescent="0.25">
      <c r="A18" s="314"/>
      <c r="C18" s="236"/>
      <c r="D18" s="89">
        <v>2031</v>
      </c>
      <c r="E18" s="230">
        <f ca="1"/>
        <v>3.5647213667997621</v>
      </c>
      <c r="F18" s="229">
        <f ca="1"/>
        <v>3.5647213667997621</v>
      </c>
      <c r="G18" s="51">
        <f ca="1"/>
        <v>3.5647213667997621</v>
      </c>
    </row>
    <row r="19" spans="1:7" x14ac:dyDescent="0.25">
      <c r="A19" s="314"/>
      <c r="C19" s="236"/>
      <c r="D19" s="89">
        <v>2032</v>
      </c>
      <c r="E19" s="230">
        <f ca="1"/>
        <v>0</v>
      </c>
      <c r="F19" s="229">
        <f ca="1"/>
        <v>0</v>
      </c>
      <c r="G19" s="51">
        <f ca="1"/>
        <v>0</v>
      </c>
    </row>
    <row r="20" spans="1:7" x14ac:dyDescent="0.25">
      <c r="A20" s="314"/>
      <c r="C20" s="236"/>
      <c r="D20" s="89">
        <v>2033</v>
      </c>
      <c r="E20" s="230">
        <f ca="1"/>
        <v>0</v>
      </c>
      <c r="F20" s="229">
        <f ca="1"/>
        <v>0</v>
      </c>
      <c r="G20" s="51">
        <f ca="1"/>
        <v>0</v>
      </c>
    </row>
    <row r="21" spans="1:7" x14ac:dyDescent="0.25">
      <c r="A21" s="314"/>
      <c r="C21" s="236"/>
      <c r="D21" s="89">
        <v>2034</v>
      </c>
      <c r="E21" s="230">
        <f ca="1"/>
        <v>0</v>
      </c>
      <c r="F21" s="229">
        <f ca="1"/>
        <v>0</v>
      </c>
      <c r="G21" s="51">
        <f ca="1"/>
        <v>0</v>
      </c>
    </row>
    <row r="22" spans="1:7" x14ac:dyDescent="0.25">
      <c r="A22" s="314"/>
      <c r="C22" s="237"/>
      <c r="D22" s="90">
        <v>2035</v>
      </c>
      <c r="E22" s="235">
        <f ca="1"/>
        <v>0</v>
      </c>
      <c r="F22" s="52">
        <f ca="1"/>
        <v>0</v>
      </c>
      <c r="G22" s="53">
        <f ca="1"/>
        <v>0</v>
      </c>
    </row>
    <row r="23" spans="1:7" ht="17.25" x14ac:dyDescent="0.3">
      <c r="A23" s="314"/>
      <c r="C23" s="8"/>
    </row>
    <row r="24" spans="1:7" ht="17.25" x14ac:dyDescent="0.3">
      <c r="A24" s="314"/>
      <c r="C24" s="8"/>
    </row>
    <row r="25" spans="1:7" ht="17.25" x14ac:dyDescent="0.3">
      <c r="A25" s="314"/>
      <c r="C25" s="8"/>
    </row>
    <row r="26" spans="1:7" ht="17.25" x14ac:dyDescent="0.3">
      <c r="C26" s="8"/>
    </row>
    <row r="27" spans="1:7" ht="17.25" x14ac:dyDescent="0.3">
      <c r="C27" s="8"/>
    </row>
    <row r="28" spans="1:7" ht="17.25" x14ac:dyDescent="0.3">
      <c r="C28" s="8"/>
    </row>
    <row r="29" spans="1:7" x14ac:dyDescent="0.25">
      <c r="A29" s="61" t="s">
        <v>48</v>
      </c>
      <c r="F29" s="22"/>
      <c r="G29" s="22"/>
    </row>
    <row r="30" spans="1:7" ht="30" customHeight="1" x14ac:dyDescent="0.25">
      <c r="A30" s="315" t="s">
        <v>229</v>
      </c>
      <c r="C30" s="343" t="s">
        <v>61</v>
      </c>
      <c r="D30" s="132" t="s">
        <v>60</v>
      </c>
      <c r="E30" s="180" t="str">
        <f>'Calcs - Price Scenarios'!$D$25</f>
        <v>IEA - Emerging and developed economies</v>
      </c>
      <c r="F30" s="180" t="str">
        <f>'Calcs - Price Scenarios'!$E$25</f>
        <v>Indicative current price</v>
      </c>
      <c r="G30" s="180" t="str">
        <f>'Calcs - Price Scenarios'!$F$25</f>
        <v>IEA - Selected EMDE with net zero targets scenario</v>
      </c>
    </row>
    <row r="31" spans="1:7" x14ac:dyDescent="0.25">
      <c r="A31" s="316"/>
      <c r="C31" s="344"/>
      <c r="D31" s="42">
        <v>2024</v>
      </c>
      <c r="E31" s="264">
        <f ca="1">$E11*'Calcs - Price Scenarios'!D26</f>
        <v>0</v>
      </c>
      <c r="F31" s="104" t="e">
        <f ca="1">$E11*'Calcs - Price Scenarios'!E26</f>
        <v>#VALUE!</v>
      </c>
      <c r="G31" s="105">
        <f ca="1">$E11*'Calcs - Price Scenarios'!F26</f>
        <v>0</v>
      </c>
    </row>
    <row r="32" spans="1:7" x14ac:dyDescent="0.25">
      <c r="A32" s="316"/>
      <c r="C32" s="344"/>
      <c r="D32" s="43">
        <v>2025</v>
      </c>
      <c r="E32" s="265">
        <f ca="1">$E12*'Calcs - Price Scenarios'!D27</f>
        <v>0</v>
      </c>
      <c r="F32" s="106">
        <f ca="1">$E12*'Calcs - Price Scenarios'!E27</f>
        <v>0</v>
      </c>
      <c r="G32" s="107">
        <f ca="1">$E12*'Calcs - Price Scenarios'!F27</f>
        <v>0</v>
      </c>
    </row>
    <row r="33" spans="1:7" x14ac:dyDescent="0.25">
      <c r="A33" s="316"/>
      <c r="C33" s="344"/>
      <c r="D33" s="43">
        <v>2026</v>
      </c>
      <c r="E33" s="265">
        <f ca="1">$E13*'Calcs - Price Scenarios'!D28</f>
        <v>82.346390852055819</v>
      </c>
      <c r="F33" s="106">
        <f ca="1">$E13*'Calcs - Price Scenarios'!E28</f>
        <v>0</v>
      </c>
      <c r="G33" s="107">
        <f ca="1">$E13*'Calcs - Price Scenarios'!F28</f>
        <v>396.85975847320685</v>
      </c>
    </row>
    <row r="34" spans="1:7" x14ac:dyDescent="0.25">
      <c r="A34" s="316"/>
      <c r="C34" s="344"/>
      <c r="D34" s="43">
        <v>2027</v>
      </c>
      <c r="E34" s="265">
        <f ca="1">$E14*'Calcs - Price Scenarios'!D29</f>
        <v>189.18232742339882</v>
      </c>
      <c r="F34" s="106">
        <f ca="1">$E14*'Calcs - Price Scenarios'!E29</f>
        <v>0</v>
      </c>
      <c r="G34" s="107">
        <f ca="1">$E14*'Calcs - Price Scenarios'!F29</f>
        <v>847.61875981858498</v>
      </c>
    </row>
    <row r="35" spans="1:7" x14ac:dyDescent="0.25">
      <c r="A35" s="316"/>
      <c r="C35" s="344"/>
      <c r="D35" s="43">
        <v>2028</v>
      </c>
      <c r="E35" s="265">
        <f ca="1">$E15*'Calcs - Price Scenarios'!D30</f>
        <v>217.31342830576867</v>
      </c>
      <c r="F35" s="106">
        <f ca="1">$E15*'Calcs - Price Scenarios'!E30</f>
        <v>0</v>
      </c>
      <c r="G35" s="107">
        <f ca="1">$E15*'Calcs - Price Scenarios'!F30</f>
        <v>905.17814751542926</v>
      </c>
    </row>
    <row r="36" spans="1:7" x14ac:dyDescent="0.25">
      <c r="A36" s="316"/>
      <c r="C36" s="344"/>
      <c r="D36" s="43">
        <v>2029</v>
      </c>
      <c r="E36" s="265">
        <f ca="1">$E16*'Calcs - Price Scenarios'!D31</f>
        <v>249.6275776136026</v>
      </c>
      <c r="F36" s="106">
        <f ca="1">$E16*'Calcs - Price Scenarios'!E31</f>
        <v>0</v>
      </c>
      <c r="G36" s="107">
        <f ca="1">$E16*'Calcs - Price Scenarios'!F31</f>
        <v>966.64623009857428</v>
      </c>
    </row>
    <row r="37" spans="1:7" x14ac:dyDescent="0.25">
      <c r="A37" s="316"/>
      <c r="C37" s="344"/>
      <c r="D37" s="43">
        <v>2030</v>
      </c>
      <c r="E37" s="265">
        <f ca="1">$E17*'Calcs - Price Scenarios'!D32</f>
        <v>286.74678776663995</v>
      </c>
      <c r="F37" s="106">
        <f ca="1">$E17*'Calcs - Price Scenarios'!E32</f>
        <v>0</v>
      </c>
      <c r="G37" s="107">
        <f ca="1">$E17*'Calcs - Price Scenarios'!F32</f>
        <v>1032.2884359599041</v>
      </c>
    </row>
    <row r="38" spans="1:7" x14ac:dyDescent="0.25">
      <c r="A38" s="316"/>
      <c r="C38" s="344"/>
      <c r="D38" s="43">
        <v>2031</v>
      </c>
      <c r="E38" s="265">
        <f ca="1">$E18*'Calcs - Price Scenarios'!D33</f>
        <v>164.69278170411164</v>
      </c>
      <c r="F38" s="106">
        <f ca="1">$E18*'Calcs - Price Scenarios'!E33</f>
        <v>0</v>
      </c>
      <c r="G38" s="107">
        <f ca="1">$E18*'Calcs - Price Scenarios'!F33</f>
        <v>551.19410899056527</v>
      </c>
    </row>
    <row r="39" spans="1:7" x14ac:dyDescent="0.25">
      <c r="A39" s="316"/>
      <c r="C39" s="344"/>
      <c r="D39" s="43">
        <v>2032</v>
      </c>
      <c r="E39" s="265">
        <f ca="1">$E19*'Calcs - Price Scenarios'!D34</f>
        <v>0</v>
      </c>
      <c r="F39" s="106">
        <f ca="1">$E19*'Calcs - Price Scenarios'!E34</f>
        <v>0</v>
      </c>
      <c r="G39" s="107">
        <f ca="1">$E19*'Calcs - Price Scenarios'!F34</f>
        <v>0</v>
      </c>
    </row>
    <row r="40" spans="1:7" x14ac:dyDescent="0.25">
      <c r="A40" s="316"/>
      <c r="C40" s="344"/>
      <c r="D40" s="43">
        <v>2033</v>
      </c>
      <c r="E40" s="265">
        <f ca="1">$E20*'Calcs - Price Scenarios'!D35</f>
        <v>0</v>
      </c>
      <c r="F40" s="106">
        <f ca="1">$E20*'Calcs - Price Scenarios'!E35</f>
        <v>0</v>
      </c>
      <c r="G40" s="107">
        <f ca="1">$E20*'Calcs - Price Scenarios'!F35</f>
        <v>0</v>
      </c>
    </row>
    <row r="41" spans="1:7" x14ac:dyDescent="0.25">
      <c r="A41" s="316"/>
      <c r="C41" s="344"/>
      <c r="D41" s="43">
        <v>2034</v>
      </c>
      <c r="E41" s="265">
        <f ca="1">$E21*'Calcs - Price Scenarios'!D36</f>
        <v>0</v>
      </c>
      <c r="F41" s="106">
        <f ca="1">$E21*'Calcs - Price Scenarios'!E36</f>
        <v>0</v>
      </c>
      <c r="G41" s="107">
        <f ca="1">$E21*'Calcs - Price Scenarios'!F36</f>
        <v>0</v>
      </c>
    </row>
    <row r="42" spans="1:7" x14ac:dyDescent="0.25">
      <c r="A42" s="316"/>
      <c r="C42" s="344"/>
      <c r="D42" s="44">
        <v>2035</v>
      </c>
      <c r="E42" s="266">
        <f ca="1">$E22*'Calcs - Price Scenarios'!D37</f>
        <v>0</v>
      </c>
      <c r="F42" s="108">
        <f ca="1">$E22*'Calcs - Price Scenarios'!E37</f>
        <v>0</v>
      </c>
      <c r="G42" s="109">
        <f ca="1">$E22*'Calcs - Price Scenarios'!F37</f>
        <v>0</v>
      </c>
    </row>
    <row r="43" spans="1:7" x14ac:dyDescent="0.25">
      <c r="A43" s="316"/>
      <c r="C43" s="345"/>
      <c r="D43" s="267" t="s">
        <v>193</v>
      </c>
      <c r="E43" s="266">
        <f ca="1">SUM(E31:E42)</f>
        <v>1189.9092936655777</v>
      </c>
      <c r="F43" s="108" t="e">
        <f ca="1">SUM(F31:F42)</f>
        <v>#VALUE!</v>
      </c>
      <c r="G43" s="109">
        <f ca="1">SUM(G31:G42)</f>
        <v>4699.7854408562644</v>
      </c>
    </row>
    <row r="44" spans="1:7" x14ac:dyDescent="0.25">
      <c r="A44" s="316"/>
      <c r="C44" s="41"/>
      <c r="D44" s="41"/>
      <c r="E44" s="23"/>
      <c r="F44" s="23"/>
      <c r="G44" s="23"/>
    </row>
    <row r="45" spans="1:7" ht="30" x14ac:dyDescent="0.25">
      <c r="A45" s="316"/>
      <c r="C45" s="346" t="s">
        <v>146</v>
      </c>
      <c r="D45" s="132" t="s">
        <v>60</v>
      </c>
      <c r="E45" s="180" t="str">
        <f>'Calcs - Price Scenarios'!$D$25</f>
        <v>IEA - Emerging and developed economies</v>
      </c>
      <c r="F45" s="180" t="str">
        <f>'Calcs - Price Scenarios'!$E$25</f>
        <v>Indicative current price</v>
      </c>
      <c r="G45" s="180" t="str">
        <f>'Calcs - Price Scenarios'!$F$25</f>
        <v>IEA - Selected EMDE with net zero targets scenario</v>
      </c>
    </row>
    <row r="46" spans="1:7" x14ac:dyDescent="0.25">
      <c r="A46" s="316"/>
      <c r="C46" s="347"/>
      <c r="D46" s="42">
        <v>2024</v>
      </c>
      <c r="E46" s="264">
        <f ca="1">$F11*'Calcs - Price Scenarios'!D26</f>
        <v>0</v>
      </c>
      <c r="F46" s="104" t="e">
        <f ca="1">$F11*'Calcs - Price Scenarios'!E26</f>
        <v>#VALUE!</v>
      </c>
      <c r="G46" s="105">
        <f ca="1">$F11*'Calcs - Price Scenarios'!F26</f>
        <v>0</v>
      </c>
    </row>
    <row r="47" spans="1:7" x14ac:dyDescent="0.25">
      <c r="A47" s="316"/>
      <c r="C47" s="347"/>
      <c r="D47" s="43">
        <v>2025</v>
      </c>
      <c r="E47" s="265">
        <f ca="1">$F12*'Calcs - Price Scenarios'!D27</f>
        <v>0</v>
      </c>
      <c r="F47" s="106">
        <f ca="1">$F12*'Calcs - Price Scenarios'!E27</f>
        <v>0</v>
      </c>
      <c r="G47" s="107">
        <f ca="1">$F12*'Calcs - Price Scenarios'!F27</f>
        <v>0</v>
      </c>
    </row>
    <row r="48" spans="1:7" x14ac:dyDescent="0.25">
      <c r="A48" s="316"/>
      <c r="C48" s="347"/>
      <c r="D48" s="43">
        <v>2026</v>
      </c>
      <c r="E48" s="265">
        <f ca="1">$F13*'Calcs - Price Scenarios'!D28</f>
        <v>82.346390852055819</v>
      </c>
      <c r="F48" s="106">
        <f ca="1">$F13*'Calcs - Price Scenarios'!E28</f>
        <v>0</v>
      </c>
      <c r="G48" s="107">
        <f ca="1">$F13*'Calcs - Price Scenarios'!F28</f>
        <v>396.85975847320685</v>
      </c>
    </row>
    <row r="49" spans="1:7" x14ac:dyDescent="0.25">
      <c r="A49" s="316"/>
      <c r="C49" s="347"/>
      <c r="D49" s="43">
        <v>2027</v>
      </c>
      <c r="E49" s="265">
        <f ca="1">$F14*'Calcs - Price Scenarios'!D29</f>
        <v>189.18232742339882</v>
      </c>
      <c r="F49" s="106">
        <f ca="1">$F14*'Calcs - Price Scenarios'!E29</f>
        <v>0</v>
      </c>
      <c r="G49" s="107">
        <f ca="1">$F14*'Calcs - Price Scenarios'!F29</f>
        <v>847.61875981858498</v>
      </c>
    </row>
    <row r="50" spans="1:7" x14ac:dyDescent="0.25">
      <c r="A50" s="316"/>
      <c r="C50" s="347"/>
      <c r="D50" s="43">
        <v>2028</v>
      </c>
      <c r="E50" s="265">
        <f ca="1">$F15*'Calcs - Price Scenarios'!D30</f>
        <v>217.31342830576867</v>
      </c>
      <c r="F50" s="106">
        <f ca="1">$F15*'Calcs - Price Scenarios'!E30</f>
        <v>0</v>
      </c>
      <c r="G50" s="107">
        <f ca="1">$F15*'Calcs - Price Scenarios'!F30</f>
        <v>905.17814751542926</v>
      </c>
    </row>
    <row r="51" spans="1:7" x14ac:dyDescent="0.25">
      <c r="A51" s="316"/>
      <c r="C51" s="347"/>
      <c r="D51" s="43">
        <v>2029</v>
      </c>
      <c r="E51" s="265">
        <f ca="1">$F16*'Calcs - Price Scenarios'!D31</f>
        <v>249.6275776136026</v>
      </c>
      <c r="F51" s="106">
        <f ca="1">$F16*'Calcs - Price Scenarios'!E31</f>
        <v>0</v>
      </c>
      <c r="G51" s="107">
        <f ca="1">$F16*'Calcs - Price Scenarios'!F31</f>
        <v>966.64623009857428</v>
      </c>
    </row>
    <row r="52" spans="1:7" x14ac:dyDescent="0.25">
      <c r="A52" s="316"/>
      <c r="C52" s="347"/>
      <c r="D52" s="43">
        <v>2030</v>
      </c>
      <c r="E52" s="265">
        <f ca="1">$F17*'Calcs - Price Scenarios'!D32</f>
        <v>286.74678776663995</v>
      </c>
      <c r="F52" s="106">
        <f ca="1">$F17*'Calcs - Price Scenarios'!E32</f>
        <v>0</v>
      </c>
      <c r="G52" s="107">
        <f ca="1">$F17*'Calcs - Price Scenarios'!F32</f>
        <v>1032.2884359599041</v>
      </c>
    </row>
    <row r="53" spans="1:7" x14ac:dyDescent="0.25">
      <c r="A53" s="316"/>
      <c r="C53" s="347"/>
      <c r="D53" s="43">
        <v>2031</v>
      </c>
      <c r="E53" s="265">
        <f ca="1">$F18*'Calcs - Price Scenarios'!D33</f>
        <v>164.69278170411164</v>
      </c>
      <c r="F53" s="106">
        <f ca="1">$F18*'Calcs - Price Scenarios'!E33</f>
        <v>0</v>
      </c>
      <c r="G53" s="107">
        <f ca="1">$F18*'Calcs - Price Scenarios'!F33</f>
        <v>551.19410899056527</v>
      </c>
    </row>
    <row r="54" spans="1:7" x14ac:dyDescent="0.25">
      <c r="A54" s="316"/>
      <c r="C54" s="347"/>
      <c r="D54" s="43">
        <v>2032</v>
      </c>
      <c r="E54" s="265">
        <f ca="1">$F19*'Calcs - Price Scenarios'!D34</f>
        <v>0</v>
      </c>
      <c r="F54" s="106">
        <f ca="1">$F19*'Calcs - Price Scenarios'!E34</f>
        <v>0</v>
      </c>
      <c r="G54" s="107">
        <f ca="1">$F19*'Calcs - Price Scenarios'!F34</f>
        <v>0</v>
      </c>
    </row>
    <row r="55" spans="1:7" x14ac:dyDescent="0.25">
      <c r="A55" s="316"/>
      <c r="C55" s="347"/>
      <c r="D55" s="43">
        <v>2033</v>
      </c>
      <c r="E55" s="265">
        <f ca="1">$F20*'Calcs - Price Scenarios'!D35</f>
        <v>0</v>
      </c>
      <c r="F55" s="106">
        <f ca="1">$F20*'Calcs - Price Scenarios'!E35</f>
        <v>0</v>
      </c>
      <c r="G55" s="107">
        <f ca="1">$F20*'Calcs - Price Scenarios'!F35</f>
        <v>0</v>
      </c>
    </row>
    <row r="56" spans="1:7" x14ac:dyDescent="0.25">
      <c r="A56" s="316"/>
      <c r="C56" s="347"/>
      <c r="D56" s="43">
        <v>2034</v>
      </c>
      <c r="E56" s="265">
        <f ca="1">$F21*'Calcs - Price Scenarios'!D36</f>
        <v>0</v>
      </c>
      <c r="F56" s="106">
        <f ca="1">$F21*'Calcs - Price Scenarios'!E36</f>
        <v>0</v>
      </c>
      <c r="G56" s="107">
        <f ca="1">$F21*'Calcs - Price Scenarios'!F36</f>
        <v>0</v>
      </c>
    </row>
    <row r="57" spans="1:7" x14ac:dyDescent="0.25">
      <c r="A57" s="316"/>
      <c r="C57" s="347"/>
      <c r="D57" s="43">
        <v>2035</v>
      </c>
      <c r="E57" s="266">
        <f ca="1">$F22*'Calcs - Price Scenarios'!D37</f>
        <v>0</v>
      </c>
      <c r="F57" s="108">
        <f ca="1">$F22*'Calcs - Price Scenarios'!E37</f>
        <v>0</v>
      </c>
      <c r="G57" s="109">
        <f ca="1">$F22*'Calcs - Price Scenarios'!F37</f>
        <v>0</v>
      </c>
    </row>
    <row r="58" spans="1:7" x14ac:dyDescent="0.25">
      <c r="A58" s="316"/>
      <c r="C58" s="348"/>
      <c r="D58" s="18" t="s">
        <v>193</v>
      </c>
      <c r="E58" s="108">
        <f ca="1">SUM(E46:E57)</f>
        <v>1189.9092936655777</v>
      </c>
      <c r="F58" s="108" t="e">
        <f ca="1">SUM(F46:F57)</f>
        <v>#VALUE!</v>
      </c>
      <c r="G58" s="109">
        <f ca="1">SUM(G46:G57)</f>
        <v>4699.7854408562644</v>
      </c>
    </row>
    <row r="59" spans="1:7" x14ac:dyDescent="0.25">
      <c r="A59" s="316"/>
      <c r="C59" s="41"/>
      <c r="D59" s="41"/>
      <c r="E59" s="23"/>
      <c r="F59" s="23"/>
      <c r="G59" s="23"/>
    </row>
    <row r="60" spans="1:7" ht="30" x14ac:dyDescent="0.25">
      <c r="A60" s="316"/>
      <c r="C60" s="349" t="s">
        <v>63</v>
      </c>
      <c r="D60" s="132" t="s">
        <v>60</v>
      </c>
      <c r="E60" s="180" t="str">
        <f>'Calcs - Price Scenarios'!$D$25</f>
        <v>IEA - Emerging and developed economies</v>
      </c>
      <c r="F60" s="180" t="str">
        <f>'Calcs - Price Scenarios'!$E$25</f>
        <v>Indicative current price</v>
      </c>
      <c r="G60" s="180" t="str">
        <f>'Calcs - Price Scenarios'!$F$25</f>
        <v>IEA - Selected EMDE with net zero targets scenario</v>
      </c>
    </row>
    <row r="61" spans="1:7" x14ac:dyDescent="0.25">
      <c r="A61" s="316"/>
      <c r="C61" s="350"/>
      <c r="D61" s="42">
        <v>2024</v>
      </c>
      <c r="E61" s="264">
        <f ca="1">$G11*'Calcs - Price Scenarios'!D26</f>
        <v>0</v>
      </c>
      <c r="F61" s="104" t="e">
        <f ca="1">$G11*'Calcs - Price Scenarios'!E26</f>
        <v>#VALUE!</v>
      </c>
      <c r="G61" s="105">
        <f ca="1">$G11*'Calcs - Price Scenarios'!F26</f>
        <v>0</v>
      </c>
    </row>
    <row r="62" spans="1:7" x14ac:dyDescent="0.25">
      <c r="A62" s="316"/>
      <c r="C62" s="350"/>
      <c r="D62" s="43">
        <v>2025</v>
      </c>
      <c r="E62" s="265">
        <f ca="1">$G12*'Calcs - Price Scenarios'!D27</f>
        <v>0</v>
      </c>
      <c r="F62" s="106">
        <f ca="1">$G12*'Calcs - Price Scenarios'!E27</f>
        <v>0</v>
      </c>
      <c r="G62" s="107">
        <f ca="1">$G12*'Calcs - Price Scenarios'!F27</f>
        <v>0</v>
      </c>
    </row>
    <row r="63" spans="1:7" x14ac:dyDescent="0.25">
      <c r="A63" s="316"/>
      <c r="C63" s="350"/>
      <c r="D63" s="43">
        <v>2026</v>
      </c>
      <c r="E63" s="265">
        <f ca="1">$G13*'Calcs - Price Scenarios'!D28</f>
        <v>82.346390852055819</v>
      </c>
      <c r="F63" s="106">
        <f ca="1">$G13*'Calcs - Price Scenarios'!E28</f>
        <v>0</v>
      </c>
      <c r="G63" s="107">
        <f ca="1">$G13*'Calcs - Price Scenarios'!F28</f>
        <v>396.85975847320685</v>
      </c>
    </row>
    <row r="64" spans="1:7" x14ac:dyDescent="0.25">
      <c r="A64" s="316"/>
      <c r="C64" s="350"/>
      <c r="D64" s="43">
        <v>2027</v>
      </c>
      <c r="E64" s="265">
        <f ca="1">$G14*'Calcs - Price Scenarios'!D29</f>
        <v>189.18232742339882</v>
      </c>
      <c r="F64" s="106">
        <f ca="1">$G14*'Calcs - Price Scenarios'!E29</f>
        <v>0</v>
      </c>
      <c r="G64" s="107">
        <f ca="1">$G14*'Calcs - Price Scenarios'!F29</f>
        <v>847.61875981858498</v>
      </c>
    </row>
    <row r="65" spans="1:7" x14ac:dyDescent="0.25">
      <c r="A65" s="316"/>
      <c r="C65" s="350"/>
      <c r="D65" s="43">
        <v>2028</v>
      </c>
      <c r="E65" s="265">
        <f ca="1">$G15*'Calcs - Price Scenarios'!D30</f>
        <v>217.31342830576867</v>
      </c>
      <c r="F65" s="106">
        <f ca="1">$G15*'Calcs - Price Scenarios'!E30</f>
        <v>0</v>
      </c>
      <c r="G65" s="107">
        <f ca="1">$G15*'Calcs - Price Scenarios'!F30</f>
        <v>905.17814751542926</v>
      </c>
    </row>
    <row r="66" spans="1:7" x14ac:dyDescent="0.25">
      <c r="A66" s="316"/>
      <c r="C66" s="350"/>
      <c r="D66" s="43">
        <v>2029</v>
      </c>
      <c r="E66" s="265">
        <f ca="1">$G16*'Calcs - Price Scenarios'!D31</f>
        <v>249.6275776136026</v>
      </c>
      <c r="F66" s="106">
        <f ca="1">$G16*'Calcs - Price Scenarios'!E31</f>
        <v>0</v>
      </c>
      <c r="G66" s="107">
        <f ca="1">$G16*'Calcs - Price Scenarios'!F31</f>
        <v>966.64623009857428</v>
      </c>
    </row>
    <row r="67" spans="1:7" x14ac:dyDescent="0.25">
      <c r="A67" s="316"/>
      <c r="C67" s="350"/>
      <c r="D67" s="43">
        <v>2030</v>
      </c>
      <c r="E67" s="265">
        <f ca="1">$G17*'Calcs - Price Scenarios'!D32</f>
        <v>286.74678776663995</v>
      </c>
      <c r="F67" s="106">
        <f ca="1">$G17*'Calcs - Price Scenarios'!E32</f>
        <v>0</v>
      </c>
      <c r="G67" s="107">
        <f ca="1">$G17*'Calcs - Price Scenarios'!F32</f>
        <v>1032.2884359599041</v>
      </c>
    </row>
    <row r="68" spans="1:7" x14ac:dyDescent="0.25">
      <c r="A68" s="316"/>
      <c r="C68" s="350"/>
      <c r="D68" s="43">
        <v>2031</v>
      </c>
      <c r="E68" s="265">
        <f ca="1">$G18*'Calcs - Price Scenarios'!D33</f>
        <v>164.69278170411164</v>
      </c>
      <c r="F68" s="106">
        <f ca="1">$G18*'Calcs - Price Scenarios'!E33</f>
        <v>0</v>
      </c>
      <c r="G68" s="107">
        <f ca="1">$G18*'Calcs - Price Scenarios'!F33</f>
        <v>551.19410899056527</v>
      </c>
    </row>
    <row r="69" spans="1:7" x14ac:dyDescent="0.25">
      <c r="A69" s="316"/>
      <c r="C69" s="350"/>
      <c r="D69" s="43">
        <v>2032</v>
      </c>
      <c r="E69" s="265">
        <f ca="1">$G19*'Calcs - Price Scenarios'!D34</f>
        <v>0</v>
      </c>
      <c r="F69" s="106">
        <f ca="1">$G19*'Calcs - Price Scenarios'!E34</f>
        <v>0</v>
      </c>
      <c r="G69" s="107">
        <f ca="1">$G19*'Calcs - Price Scenarios'!F34</f>
        <v>0</v>
      </c>
    </row>
    <row r="70" spans="1:7" x14ac:dyDescent="0.25">
      <c r="A70" s="316"/>
      <c r="C70" s="350"/>
      <c r="D70" s="43">
        <v>2033</v>
      </c>
      <c r="E70" s="265">
        <f ca="1">$G20*'Calcs - Price Scenarios'!D35</f>
        <v>0</v>
      </c>
      <c r="F70" s="106">
        <f ca="1">$G20*'Calcs - Price Scenarios'!E35</f>
        <v>0</v>
      </c>
      <c r="G70" s="107">
        <f ca="1">$G20*'Calcs - Price Scenarios'!F35</f>
        <v>0</v>
      </c>
    </row>
    <row r="71" spans="1:7" x14ac:dyDescent="0.25">
      <c r="A71" s="316"/>
      <c r="C71" s="350"/>
      <c r="D71" s="43">
        <v>2034</v>
      </c>
      <c r="E71" s="265">
        <f ca="1">$G21*'Calcs - Price Scenarios'!D36</f>
        <v>0</v>
      </c>
      <c r="F71" s="106">
        <f ca="1">$G21*'Calcs - Price Scenarios'!E36</f>
        <v>0</v>
      </c>
      <c r="G71" s="107">
        <f ca="1">$G21*'Calcs - Price Scenarios'!F36</f>
        <v>0</v>
      </c>
    </row>
    <row r="72" spans="1:7" x14ac:dyDescent="0.25">
      <c r="A72" s="316"/>
      <c r="C72" s="350"/>
      <c r="D72" s="43">
        <v>2035</v>
      </c>
      <c r="E72" s="266">
        <f ca="1">$G22*'Calcs - Price Scenarios'!D37</f>
        <v>0</v>
      </c>
      <c r="F72" s="108">
        <f ca="1">$G22*'Calcs - Price Scenarios'!E37</f>
        <v>0</v>
      </c>
      <c r="G72" s="109">
        <f ca="1">$G22*'Calcs - Price Scenarios'!F37</f>
        <v>0</v>
      </c>
    </row>
    <row r="73" spans="1:7" x14ac:dyDescent="0.25">
      <c r="A73" s="317"/>
      <c r="C73" s="351"/>
      <c r="D73" s="18" t="s">
        <v>193</v>
      </c>
      <c r="E73" s="108">
        <f ca="1">SUM(E61:E72)</f>
        <v>1189.9092936655777</v>
      </c>
      <c r="F73" s="108" t="e">
        <f ca="1">SUM(F61:F72)</f>
        <v>#VALUE!</v>
      </c>
      <c r="G73" s="109">
        <f ca="1">SUM(G61:G72)</f>
        <v>4699.7854408562644</v>
      </c>
    </row>
    <row r="74" spans="1:7" x14ac:dyDescent="0.25">
      <c r="C74" s="41"/>
      <c r="D74" s="41"/>
      <c r="E74" s="23"/>
      <c r="F74" s="23"/>
      <c r="G74" s="23"/>
    </row>
    <row r="75" spans="1:7" x14ac:dyDescent="0.25">
      <c r="C75" s="41"/>
      <c r="D75" s="41"/>
      <c r="E75" s="23"/>
      <c r="F75" s="23"/>
      <c r="G75" s="23"/>
    </row>
    <row r="76" spans="1:7" ht="17.25" x14ac:dyDescent="0.3">
      <c r="C76" s="8" t="s">
        <v>230</v>
      </c>
      <c r="D76" s="41"/>
      <c r="E76" s="23"/>
      <c r="F76" s="23"/>
    </row>
    <row r="77" spans="1:7" x14ac:dyDescent="0.25">
      <c r="A77" s="61" t="s">
        <v>48</v>
      </c>
      <c r="F77" s="22"/>
      <c r="G77" s="22"/>
    </row>
    <row r="78" spans="1:7" ht="30" x14ac:dyDescent="0.25">
      <c r="A78" s="315" t="s">
        <v>231</v>
      </c>
      <c r="C78" s="343" t="s">
        <v>61</v>
      </c>
      <c r="D78" s="132" t="s">
        <v>60</v>
      </c>
      <c r="E78" s="180" t="str">
        <f>'Calcs - Price Scenarios'!$D$25</f>
        <v>IEA - Emerging and developed economies</v>
      </c>
      <c r="F78" s="180" t="str">
        <f>'Calcs - Price Scenarios'!$E$25</f>
        <v>Indicative current price</v>
      </c>
      <c r="G78" s="180" t="str">
        <f>'Calcs - Price Scenarios'!$F$25</f>
        <v>IEA - Selected EMDE with net zero targets scenario</v>
      </c>
    </row>
    <row r="79" spans="1:7" x14ac:dyDescent="0.25">
      <c r="A79" s="316"/>
      <c r="C79" s="344"/>
      <c r="D79" s="124">
        <v>2024</v>
      </c>
      <c r="E79" s="111">
        <f ca="1">E31*'Calcs - Discounted cash flows'!$E8</f>
        <v>0</v>
      </c>
      <c r="F79" s="111" t="e">
        <f ca="1">F31*'Calcs - Discounted cash flows'!$E8</f>
        <v>#VALUE!</v>
      </c>
      <c r="G79" s="112">
        <f ca="1">G31*'Calcs - Discounted cash flows'!$E8</f>
        <v>0</v>
      </c>
    </row>
    <row r="80" spans="1:7" x14ac:dyDescent="0.25">
      <c r="A80" s="316"/>
      <c r="C80" s="344"/>
      <c r="D80" s="89">
        <v>2025</v>
      </c>
      <c r="E80" s="113">
        <f ca="1">E32*'Calcs - Discounted cash flows'!$E9</f>
        <v>0</v>
      </c>
      <c r="F80" s="113">
        <f ca="1">F32*'Calcs - Discounted cash flows'!$E9</f>
        <v>0</v>
      </c>
      <c r="G80" s="114">
        <f ca="1">G32*'Calcs - Discounted cash flows'!$E9</f>
        <v>0</v>
      </c>
    </row>
    <row r="81" spans="1:7" x14ac:dyDescent="0.25">
      <c r="A81" s="316"/>
      <c r="C81" s="344"/>
      <c r="D81" s="89">
        <v>2026</v>
      </c>
      <c r="E81" s="113">
        <f ca="1">E33*'Calcs - Discounted cash flows'!$E10</f>
        <v>76.075336538463361</v>
      </c>
      <c r="F81" s="113">
        <f ca="1">F33*'Calcs - Discounted cash flows'!$E10</f>
        <v>0</v>
      </c>
      <c r="G81" s="114">
        <f ca="1">G33*'Calcs - Discounted cash flows'!$E10</f>
        <v>366.63707263945929</v>
      </c>
    </row>
    <row r="82" spans="1:7" x14ac:dyDescent="0.25">
      <c r="A82" s="316"/>
      <c r="C82" s="344"/>
      <c r="D82" s="89">
        <v>2027</v>
      </c>
      <c r="E82" s="113">
        <f ca="1">E34*'Calcs - Discounted cash flows'!$E11</f>
        <v>171.34826262270332</v>
      </c>
      <c r="F82" s="113">
        <f ca="1">F34*'Calcs - Discounted cash flows'!$E11</f>
        <v>0</v>
      </c>
      <c r="G82" s="114">
        <f ca="1">G34*'Calcs - Discounted cash flows'!$E11</f>
        <v>767.71442575751587</v>
      </c>
    </row>
    <row r="83" spans="1:7" x14ac:dyDescent="0.25">
      <c r="A83" s="316"/>
      <c r="C83" s="344"/>
      <c r="D83" s="89">
        <v>2028</v>
      </c>
      <c r="E83" s="113">
        <f ca="1">E35*'Calcs - Discounted cash flows'!$E12</f>
        <v>192.96810530029333</v>
      </c>
      <c r="F83" s="113">
        <f ca="1">F35*'Calcs - Discounted cash flows'!$E12</f>
        <v>0</v>
      </c>
      <c r="G83" s="114">
        <f ca="1">G35*'Calcs - Discounted cash flows'!$E12</f>
        <v>803.7722907740125</v>
      </c>
    </row>
    <row r="84" spans="1:7" x14ac:dyDescent="0.25">
      <c r="A84" s="316"/>
      <c r="C84" s="344"/>
      <c r="D84" s="89">
        <v>2029</v>
      </c>
      <c r="E84" s="113">
        <f ca="1">E36*'Calcs - Discounted cash flows'!$E13</f>
        <v>217.31582855425648</v>
      </c>
      <c r="F84" s="113">
        <f ca="1">F36*'Calcs - Discounted cash flows'!$E13</f>
        <v>0</v>
      </c>
      <c r="G84" s="114">
        <f ca="1">G36*'Calcs - Discounted cash flows'!$E13</f>
        <v>841.5237147310811</v>
      </c>
    </row>
    <row r="85" spans="1:7" x14ac:dyDescent="0.25">
      <c r="A85" s="316"/>
      <c r="C85" s="344"/>
      <c r="D85" s="89">
        <v>2030</v>
      </c>
      <c r="E85" s="113">
        <f ca="1">E37*'Calcs - Discounted cash flows'!$E14</f>
        <v>244.73562232852163</v>
      </c>
      <c r="F85" s="113">
        <f ca="1">F37*'Calcs - Discounted cash flows'!$E14</f>
        <v>0</v>
      </c>
      <c r="G85" s="114">
        <f ca="1">G37*'Calcs - Discounted cash flows'!$E14</f>
        <v>881.04824038267805</v>
      </c>
    </row>
    <row r="86" spans="1:7" x14ac:dyDescent="0.25">
      <c r="A86" s="316"/>
      <c r="C86" s="344"/>
      <c r="D86" s="89">
        <v>2031</v>
      </c>
      <c r="E86" s="113">
        <f ca="1">E38*'Calcs - Discounted cash flows'!$E15</f>
        <v>137.8075523421316</v>
      </c>
      <c r="F86" s="113">
        <f ca="1">F38*'Calcs - Discounted cash flows'!$E15</f>
        <v>0</v>
      </c>
      <c r="G86" s="114">
        <f ca="1">G38*'Calcs - Discounted cash flows'!$E15</f>
        <v>461.21457321584342</v>
      </c>
    </row>
    <row r="87" spans="1:7" x14ac:dyDescent="0.25">
      <c r="A87" s="316"/>
      <c r="C87" s="344"/>
      <c r="D87" s="89">
        <v>2032</v>
      </c>
      <c r="E87" s="113">
        <f ca="1">E39*'Calcs - Discounted cash flows'!$E16</f>
        <v>0</v>
      </c>
      <c r="F87" s="113">
        <f ca="1">F39*'Calcs - Discounted cash flows'!$E16</f>
        <v>0</v>
      </c>
      <c r="G87" s="114">
        <f ca="1">G39*'Calcs - Discounted cash flows'!$E16</f>
        <v>0</v>
      </c>
    </row>
    <row r="88" spans="1:7" x14ac:dyDescent="0.25">
      <c r="A88" s="316"/>
      <c r="C88" s="344"/>
      <c r="D88" s="89">
        <v>2033</v>
      </c>
      <c r="E88" s="113">
        <f ca="1">E40*'Calcs - Discounted cash flows'!$E17</f>
        <v>0</v>
      </c>
      <c r="F88" s="113">
        <f ca="1">F40*'Calcs - Discounted cash flows'!$E17</f>
        <v>0</v>
      </c>
      <c r="G88" s="114">
        <f ca="1">G40*'Calcs - Discounted cash flows'!$E17</f>
        <v>0</v>
      </c>
    </row>
    <row r="89" spans="1:7" x14ac:dyDescent="0.25">
      <c r="A89" s="316"/>
      <c r="C89" s="344"/>
      <c r="D89" s="89">
        <v>2034</v>
      </c>
      <c r="E89" s="113">
        <f ca="1">E41*'Calcs - Discounted cash flows'!$E18</f>
        <v>0</v>
      </c>
      <c r="F89" s="113">
        <f ca="1">F41*'Calcs - Discounted cash flows'!$E18</f>
        <v>0</v>
      </c>
      <c r="G89" s="114">
        <f ca="1">G41*'Calcs - Discounted cash flows'!$E18</f>
        <v>0</v>
      </c>
    </row>
    <row r="90" spans="1:7" x14ac:dyDescent="0.25">
      <c r="A90" s="316"/>
      <c r="C90" s="344"/>
      <c r="D90" s="89">
        <v>2035</v>
      </c>
      <c r="E90" s="113">
        <f ca="1">E42*'Calcs - Discounted cash flows'!$E19</f>
        <v>0</v>
      </c>
      <c r="F90" s="113">
        <f ca="1">F42*'Calcs - Discounted cash flows'!$E19</f>
        <v>0</v>
      </c>
      <c r="G90" s="114">
        <f ca="1">G42*'Calcs - Discounted cash flows'!$E19</f>
        <v>0</v>
      </c>
    </row>
    <row r="91" spans="1:7" x14ac:dyDescent="0.25">
      <c r="A91" s="316"/>
      <c r="C91" s="344"/>
      <c r="D91" s="155" t="s">
        <v>193</v>
      </c>
      <c r="E91" s="111">
        <f ca="1">SUM(E79:E90)</f>
        <v>1040.2507076863699</v>
      </c>
      <c r="F91" s="111" t="e">
        <f ca="1">SUM(F79:F90)</f>
        <v>#VALUE!</v>
      </c>
      <c r="G91" s="112">
        <f ca="1">SUM(G79:G90)</f>
        <v>4121.9103175005903</v>
      </c>
    </row>
    <row r="92" spans="1:7" x14ac:dyDescent="0.25">
      <c r="A92" s="316"/>
      <c r="C92" s="344"/>
      <c r="D92" s="169" t="s">
        <v>232</v>
      </c>
      <c r="E92" s="113">
        <f ca="1">E91-OFFSET('Calcs - Discounted cash flows'!$C$26, 15, $D$6+1)</f>
        <v>-732.29798448656447</v>
      </c>
      <c r="F92" s="113" t="e">
        <f ca="1">F91-OFFSET('Calcs - Discounted cash flows'!$C$26, 15, $D$6+2)</f>
        <v>#VALUE!</v>
      </c>
      <c r="G92" s="114">
        <f ca="1">G91-OFFSET('Calcs - Discounted cash flows'!$C$26, 15, $D$6+3)</f>
        <v>-944.31109045407447</v>
      </c>
    </row>
    <row r="93" spans="1:7" x14ac:dyDescent="0.25">
      <c r="A93" s="316"/>
      <c r="C93" s="345"/>
      <c r="D93" s="170" t="s">
        <v>233</v>
      </c>
      <c r="E93" s="54">
        <f ca="1">E92/OFFSET('Calcs - Discounted cash flows'!$C$26, 15, $D$6+1)</f>
        <v>-0.41313278880302806</v>
      </c>
      <c r="F93" s="54" t="e">
        <f ca="1">F92/OFFSET('Calcs - Discounted cash flows'!$C$26, 15, $D$6+2)</f>
        <v>#VALUE!</v>
      </c>
      <c r="G93" s="55">
        <f ca="1">G92/OFFSET('Calcs - Discounted cash flows'!$C$26, 15, $D$6+3)</f>
        <v>-0.18639356917393624</v>
      </c>
    </row>
    <row r="94" spans="1:7" x14ac:dyDescent="0.25">
      <c r="A94" s="316"/>
    </row>
    <row r="95" spans="1:7" ht="30" x14ac:dyDescent="0.25">
      <c r="A95" s="316"/>
      <c r="C95" s="346" t="s">
        <v>146</v>
      </c>
      <c r="D95" s="132" t="s">
        <v>60</v>
      </c>
      <c r="E95" s="180" t="str">
        <f>'Calcs - Price Scenarios'!$D$25</f>
        <v>IEA - Emerging and developed economies</v>
      </c>
      <c r="F95" s="180" t="str">
        <f>'Calcs - Price Scenarios'!$E$25</f>
        <v>Indicative current price</v>
      </c>
      <c r="G95" s="180" t="str">
        <f>'Calcs - Price Scenarios'!$F$25</f>
        <v>IEA - Selected EMDE with net zero targets scenario</v>
      </c>
    </row>
    <row r="96" spans="1:7" x14ac:dyDescent="0.25">
      <c r="A96" s="316"/>
      <c r="C96" s="347"/>
      <c r="D96" s="124">
        <v>2024</v>
      </c>
      <c r="E96" s="111">
        <f ca="1">E46*'Calcs - Discounted cash flows'!$E8</f>
        <v>0</v>
      </c>
      <c r="F96" s="111" t="e">
        <f ca="1">F46*'Calcs - Discounted cash flows'!$E8</f>
        <v>#VALUE!</v>
      </c>
      <c r="G96" s="112">
        <f ca="1">G46*'Calcs - Discounted cash flows'!$E8</f>
        <v>0</v>
      </c>
    </row>
    <row r="97" spans="1:7" x14ac:dyDescent="0.25">
      <c r="A97" s="316"/>
      <c r="C97" s="347"/>
      <c r="D97" s="89">
        <v>2025</v>
      </c>
      <c r="E97" s="113">
        <f ca="1">E47*'Calcs - Discounted cash flows'!$E9</f>
        <v>0</v>
      </c>
      <c r="F97" s="113">
        <f ca="1">F47*'Calcs - Discounted cash flows'!$E9</f>
        <v>0</v>
      </c>
      <c r="G97" s="114">
        <f ca="1">G47*'Calcs - Discounted cash flows'!$E9</f>
        <v>0</v>
      </c>
    </row>
    <row r="98" spans="1:7" x14ac:dyDescent="0.25">
      <c r="A98" s="316"/>
      <c r="C98" s="347"/>
      <c r="D98" s="89">
        <v>2026</v>
      </c>
      <c r="E98" s="113">
        <f ca="1">E48*'Calcs - Discounted cash flows'!$E10</f>
        <v>76.075336538463361</v>
      </c>
      <c r="F98" s="113">
        <f ca="1">F48*'Calcs - Discounted cash flows'!$E10</f>
        <v>0</v>
      </c>
      <c r="G98" s="114">
        <f ca="1">G48*'Calcs - Discounted cash flows'!$E10</f>
        <v>366.63707263945929</v>
      </c>
    </row>
    <row r="99" spans="1:7" x14ac:dyDescent="0.25">
      <c r="A99" s="316"/>
      <c r="C99" s="347"/>
      <c r="D99" s="89">
        <v>2027</v>
      </c>
      <c r="E99" s="113">
        <f ca="1">E49*'Calcs - Discounted cash flows'!$E11</f>
        <v>171.34826262270332</v>
      </c>
      <c r="F99" s="113">
        <f ca="1">F49*'Calcs - Discounted cash flows'!$E11</f>
        <v>0</v>
      </c>
      <c r="G99" s="114">
        <f ca="1">G49*'Calcs - Discounted cash flows'!$E11</f>
        <v>767.71442575751587</v>
      </c>
    </row>
    <row r="100" spans="1:7" x14ac:dyDescent="0.25">
      <c r="A100" s="316"/>
      <c r="C100" s="347"/>
      <c r="D100" s="89">
        <v>2028</v>
      </c>
      <c r="E100" s="113">
        <f ca="1">E50*'Calcs - Discounted cash flows'!$E12</f>
        <v>192.96810530029333</v>
      </c>
      <c r="F100" s="113">
        <f ca="1">F50*'Calcs - Discounted cash flows'!$E12</f>
        <v>0</v>
      </c>
      <c r="G100" s="114">
        <f ca="1">G50*'Calcs - Discounted cash flows'!$E12</f>
        <v>803.7722907740125</v>
      </c>
    </row>
    <row r="101" spans="1:7" x14ac:dyDescent="0.25">
      <c r="A101" s="316"/>
      <c r="C101" s="347"/>
      <c r="D101" s="89">
        <v>2029</v>
      </c>
      <c r="E101" s="113">
        <f ca="1">E51*'Calcs - Discounted cash flows'!$E13</f>
        <v>217.31582855425648</v>
      </c>
      <c r="F101" s="113">
        <f ca="1">F51*'Calcs - Discounted cash flows'!$E13</f>
        <v>0</v>
      </c>
      <c r="G101" s="114">
        <f ca="1">G51*'Calcs - Discounted cash flows'!$E13</f>
        <v>841.5237147310811</v>
      </c>
    </row>
    <row r="102" spans="1:7" x14ac:dyDescent="0.25">
      <c r="A102" s="316"/>
      <c r="C102" s="347"/>
      <c r="D102" s="89">
        <v>2030</v>
      </c>
      <c r="E102" s="113">
        <f ca="1">E52*'Calcs - Discounted cash flows'!$E14</f>
        <v>244.73562232852163</v>
      </c>
      <c r="F102" s="113">
        <f ca="1">F52*'Calcs - Discounted cash flows'!$E14</f>
        <v>0</v>
      </c>
      <c r="G102" s="114">
        <f ca="1">G52*'Calcs - Discounted cash flows'!$E14</f>
        <v>881.04824038267805</v>
      </c>
    </row>
    <row r="103" spans="1:7" x14ac:dyDescent="0.25">
      <c r="A103" s="316"/>
      <c r="C103" s="347"/>
      <c r="D103" s="89">
        <v>2031</v>
      </c>
      <c r="E103" s="113">
        <f ca="1">E53*'Calcs - Discounted cash flows'!$E15</f>
        <v>137.8075523421316</v>
      </c>
      <c r="F103" s="113">
        <f ca="1">F53*'Calcs - Discounted cash flows'!$E15</f>
        <v>0</v>
      </c>
      <c r="G103" s="114">
        <f ca="1">G53*'Calcs - Discounted cash flows'!$E15</f>
        <v>461.21457321584342</v>
      </c>
    </row>
    <row r="104" spans="1:7" x14ac:dyDescent="0.25">
      <c r="A104" s="316"/>
      <c r="C104" s="347"/>
      <c r="D104" s="89">
        <v>2032</v>
      </c>
      <c r="E104" s="113">
        <f ca="1">E54*'Calcs - Discounted cash flows'!$E16</f>
        <v>0</v>
      </c>
      <c r="F104" s="113">
        <f ca="1">F54*'Calcs - Discounted cash flows'!$E16</f>
        <v>0</v>
      </c>
      <c r="G104" s="114">
        <f ca="1">G54*'Calcs - Discounted cash flows'!$E16</f>
        <v>0</v>
      </c>
    </row>
    <row r="105" spans="1:7" x14ac:dyDescent="0.25">
      <c r="A105" s="316"/>
      <c r="C105" s="347"/>
      <c r="D105" s="89">
        <v>2033</v>
      </c>
      <c r="E105" s="113">
        <f ca="1">E55*'Calcs - Discounted cash flows'!$E17</f>
        <v>0</v>
      </c>
      <c r="F105" s="113">
        <f ca="1">F55*'Calcs - Discounted cash flows'!$E17</f>
        <v>0</v>
      </c>
      <c r="G105" s="114">
        <f ca="1">G55*'Calcs - Discounted cash flows'!$E17</f>
        <v>0</v>
      </c>
    </row>
    <row r="106" spans="1:7" x14ac:dyDescent="0.25">
      <c r="A106" s="316"/>
      <c r="C106" s="347"/>
      <c r="D106" s="89">
        <v>2034</v>
      </c>
      <c r="E106" s="113">
        <f ca="1">E56*'Calcs - Discounted cash flows'!$E18</f>
        <v>0</v>
      </c>
      <c r="F106" s="113">
        <f ca="1">F56*'Calcs - Discounted cash flows'!$E18</f>
        <v>0</v>
      </c>
      <c r="G106" s="114">
        <f ca="1">G56*'Calcs - Discounted cash flows'!$E18</f>
        <v>0</v>
      </c>
    </row>
    <row r="107" spans="1:7" x14ac:dyDescent="0.25">
      <c r="A107" s="316"/>
      <c r="C107" s="347"/>
      <c r="D107" s="89">
        <v>2035</v>
      </c>
      <c r="E107" s="113">
        <f ca="1">E57*'Calcs - Discounted cash flows'!$E19</f>
        <v>0</v>
      </c>
      <c r="F107" s="113">
        <f ca="1">F57*'Calcs - Discounted cash flows'!$E19</f>
        <v>0</v>
      </c>
      <c r="G107" s="114">
        <f ca="1">G57*'Calcs - Discounted cash flows'!$E19</f>
        <v>0</v>
      </c>
    </row>
    <row r="108" spans="1:7" x14ac:dyDescent="0.25">
      <c r="A108" s="316"/>
      <c r="C108" s="347"/>
      <c r="D108" s="155" t="s">
        <v>193</v>
      </c>
      <c r="E108" s="111">
        <f ca="1">SUM(E96:E107)</f>
        <v>1040.2507076863699</v>
      </c>
      <c r="F108" s="111" t="e">
        <f ca="1">SUM(F96:F107)</f>
        <v>#VALUE!</v>
      </c>
      <c r="G108" s="112">
        <f ca="1">SUM(G96:G107)</f>
        <v>4121.9103175005903</v>
      </c>
    </row>
    <row r="109" spans="1:7" x14ac:dyDescent="0.25">
      <c r="A109" s="316"/>
      <c r="C109" s="347"/>
      <c r="D109" s="169" t="s">
        <v>232</v>
      </c>
      <c r="E109" s="113">
        <f ca="1">E108-OFFSET('Calcs - Discounted cash flows'!$C$26, 30, $D$6+1)</f>
        <v>-732.29798448656447</v>
      </c>
      <c r="F109" s="113" t="e">
        <f ca="1">F108-OFFSET('Calcs - Discounted cash flows'!$C$26, 30, $D$6+2)</f>
        <v>#VALUE!</v>
      </c>
      <c r="G109" s="114">
        <f ca="1">G108-OFFSET('Calcs - Discounted cash flows'!$C$26, 30, $D$6+3)</f>
        <v>-944.31109045407447</v>
      </c>
    </row>
    <row r="110" spans="1:7" x14ac:dyDescent="0.25">
      <c r="A110" s="316"/>
      <c r="C110" s="348"/>
      <c r="D110" s="170" t="s">
        <v>233</v>
      </c>
      <c r="E110" s="54">
        <f ca="1">E109/OFFSET('Calcs - Discounted cash flows'!$C$26, 30, $D$6+1)</f>
        <v>-0.41313278880302806</v>
      </c>
      <c r="F110" s="54" t="e">
        <f ca="1">F109/OFFSET('Calcs - Discounted cash flows'!$C$26, 30, $D$6+2)</f>
        <v>#VALUE!</v>
      </c>
      <c r="G110" s="55">
        <f ca="1">G109/OFFSET('Calcs - Discounted cash flows'!$C$26, 30, $D$6+3)</f>
        <v>-0.18639356917393624</v>
      </c>
    </row>
    <row r="111" spans="1:7" x14ac:dyDescent="0.25">
      <c r="A111" s="316"/>
    </row>
    <row r="112" spans="1:7" ht="30" x14ac:dyDescent="0.25">
      <c r="A112" s="316"/>
      <c r="C112" s="349" t="s">
        <v>63</v>
      </c>
      <c r="D112" s="132" t="s">
        <v>60</v>
      </c>
      <c r="E112" s="180" t="str">
        <f>'Calcs - Price Scenarios'!$D$25</f>
        <v>IEA - Emerging and developed economies</v>
      </c>
      <c r="F112" s="180" t="str">
        <f>'Calcs - Price Scenarios'!$E$25</f>
        <v>Indicative current price</v>
      </c>
      <c r="G112" s="180" t="str">
        <f>'Calcs - Price Scenarios'!$F$25</f>
        <v>IEA - Selected EMDE with net zero targets scenario</v>
      </c>
    </row>
    <row r="113" spans="1:7" x14ac:dyDescent="0.25">
      <c r="A113" s="316"/>
      <c r="C113" s="350"/>
      <c r="D113" s="124">
        <v>2024</v>
      </c>
      <c r="E113" s="111">
        <f ca="1">E61*'Calcs - Discounted cash flows'!$E8</f>
        <v>0</v>
      </c>
      <c r="F113" s="111" t="e">
        <f ca="1">F61*'Calcs - Discounted cash flows'!$E8</f>
        <v>#VALUE!</v>
      </c>
      <c r="G113" s="112">
        <f ca="1">G61*'Calcs - Discounted cash flows'!$E8</f>
        <v>0</v>
      </c>
    </row>
    <row r="114" spans="1:7" x14ac:dyDescent="0.25">
      <c r="A114" s="316"/>
      <c r="C114" s="350"/>
      <c r="D114" s="89">
        <v>2025</v>
      </c>
      <c r="E114" s="113">
        <f ca="1">E62*'Calcs - Discounted cash flows'!$E9</f>
        <v>0</v>
      </c>
      <c r="F114" s="113">
        <f ca="1">F62*'Calcs - Discounted cash flows'!$E9</f>
        <v>0</v>
      </c>
      <c r="G114" s="114">
        <f ca="1">G62*'Calcs - Discounted cash flows'!$E9</f>
        <v>0</v>
      </c>
    </row>
    <row r="115" spans="1:7" x14ac:dyDescent="0.25">
      <c r="A115" s="316"/>
      <c r="C115" s="350"/>
      <c r="D115" s="89">
        <v>2026</v>
      </c>
      <c r="E115" s="113">
        <f ca="1">E63*'Calcs - Discounted cash flows'!$E10</f>
        <v>76.075336538463361</v>
      </c>
      <c r="F115" s="113">
        <f ca="1">F63*'Calcs - Discounted cash flows'!$E10</f>
        <v>0</v>
      </c>
      <c r="G115" s="114">
        <f ca="1">G63*'Calcs - Discounted cash flows'!$E10</f>
        <v>366.63707263945929</v>
      </c>
    </row>
    <row r="116" spans="1:7" x14ac:dyDescent="0.25">
      <c r="A116" s="316"/>
      <c r="C116" s="350"/>
      <c r="D116" s="89">
        <v>2027</v>
      </c>
      <c r="E116" s="113">
        <f ca="1">E64*'Calcs - Discounted cash flows'!$E11</f>
        <v>171.34826262270332</v>
      </c>
      <c r="F116" s="113">
        <f ca="1">F64*'Calcs - Discounted cash flows'!$E11</f>
        <v>0</v>
      </c>
      <c r="G116" s="114">
        <f ca="1">G64*'Calcs - Discounted cash flows'!$E11</f>
        <v>767.71442575751587</v>
      </c>
    </row>
    <row r="117" spans="1:7" x14ac:dyDescent="0.25">
      <c r="A117" s="316"/>
      <c r="C117" s="350"/>
      <c r="D117" s="89">
        <v>2028</v>
      </c>
      <c r="E117" s="113">
        <f ca="1">E65*'Calcs - Discounted cash flows'!$E12</f>
        <v>192.96810530029333</v>
      </c>
      <c r="F117" s="113">
        <f ca="1">F65*'Calcs - Discounted cash flows'!$E12</f>
        <v>0</v>
      </c>
      <c r="G117" s="114">
        <f ca="1">G65*'Calcs - Discounted cash flows'!$E12</f>
        <v>803.7722907740125</v>
      </c>
    </row>
    <row r="118" spans="1:7" x14ac:dyDescent="0.25">
      <c r="A118" s="316"/>
      <c r="C118" s="350"/>
      <c r="D118" s="89">
        <v>2029</v>
      </c>
      <c r="E118" s="113">
        <f ca="1">E66*'Calcs - Discounted cash flows'!$E13</f>
        <v>217.31582855425648</v>
      </c>
      <c r="F118" s="113">
        <f ca="1">F66*'Calcs - Discounted cash flows'!$E13</f>
        <v>0</v>
      </c>
      <c r="G118" s="114">
        <f ca="1">G66*'Calcs - Discounted cash flows'!$E13</f>
        <v>841.5237147310811</v>
      </c>
    </row>
    <row r="119" spans="1:7" x14ac:dyDescent="0.25">
      <c r="A119" s="316"/>
      <c r="C119" s="350"/>
      <c r="D119" s="89">
        <v>2030</v>
      </c>
      <c r="E119" s="113">
        <f ca="1">E67*'Calcs - Discounted cash flows'!$E14</f>
        <v>244.73562232852163</v>
      </c>
      <c r="F119" s="113">
        <f ca="1">F67*'Calcs - Discounted cash flows'!$E14</f>
        <v>0</v>
      </c>
      <c r="G119" s="114">
        <f ca="1">G67*'Calcs - Discounted cash flows'!$E14</f>
        <v>881.04824038267805</v>
      </c>
    </row>
    <row r="120" spans="1:7" x14ac:dyDescent="0.25">
      <c r="A120" s="316"/>
      <c r="C120" s="350"/>
      <c r="D120" s="89">
        <v>2031</v>
      </c>
      <c r="E120" s="113">
        <f ca="1">E68*'Calcs - Discounted cash flows'!$E15</f>
        <v>137.8075523421316</v>
      </c>
      <c r="F120" s="113">
        <f ca="1">F68*'Calcs - Discounted cash flows'!$E15</f>
        <v>0</v>
      </c>
      <c r="G120" s="114">
        <f ca="1">G68*'Calcs - Discounted cash flows'!$E15</f>
        <v>461.21457321584342</v>
      </c>
    </row>
    <row r="121" spans="1:7" x14ac:dyDescent="0.25">
      <c r="A121" s="316"/>
      <c r="C121" s="350"/>
      <c r="D121" s="89">
        <v>2032</v>
      </c>
      <c r="E121" s="113">
        <f ca="1">E69*'Calcs - Discounted cash flows'!$E16</f>
        <v>0</v>
      </c>
      <c r="F121" s="113">
        <f ca="1">F69*'Calcs - Discounted cash flows'!$E16</f>
        <v>0</v>
      </c>
      <c r="G121" s="114">
        <f ca="1">G69*'Calcs - Discounted cash flows'!$E16</f>
        <v>0</v>
      </c>
    </row>
    <row r="122" spans="1:7" x14ac:dyDescent="0.25">
      <c r="A122" s="316"/>
      <c r="C122" s="350"/>
      <c r="D122" s="89">
        <v>2033</v>
      </c>
      <c r="E122" s="113">
        <f ca="1">E70*'Calcs - Discounted cash flows'!$E17</f>
        <v>0</v>
      </c>
      <c r="F122" s="113">
        <f ca="1">F70*'Calcs - Discounted cash flows'!$E17</f>
        <v>0</v>
      </c>
      <c r="G122" s="114">
        <f ca="1">G70*'Calcs - Discounted cash flows'!$E17</f>
        <v>0</v>
      </c>
    </row>
    <row r="123" spans="1:7" x14ac:dyDescent="0.25">
      <c r="A123" s="316"/>
      <c r="C123" s="350"/>
      <c r="D123" s="89">
        <v>2034</v>
      </c>
      <c r="E123" s="113">
        <f ca="1">E71*'Calcs - Discounted cash flows'!$E18</f>
        <v>0</v>
      </c>
      <c r="F123" s="113">
        <f ca="1">F71*'Calcs - Discounted cash flows'!$E18</f>
        <v>0</v>
      </c>
      <c r="G123" s="114">
        <f ca="1">G71*'Calcs - Discounted cash flows'!$E18</f>
        <v>0</v>
      </c>
    </row>
    <row r="124" spans="1:7" x14ac:dyDescent="0.25">
      <c r="A124" s="316"/>
      <c r="C124" s="350"/>
      <c r="D124" s="89">
        <v>2035</v>
      </c>
      <c r="E124" s="113">
        <f ca="1">E72*'Calcs - Discounted cash flows'!$E19</f>
        <v>0</v>
      </c>
      <c r="F124" s="113">
        <f ca="1">F72*'Calcs - Discounted cash flows'!$E19</f>
        <v>0</v>
      </c>
      <c r="G124" s="114">
        <f ca="1">G72*'Calcs - Discounted cash flows'!$E19</f>
        <v>0</v>
      </c>
    </row>
    <row r="125" spans="1:7" x14ac:dyDescent="0.25">
      <c r="A125" s="316"/>
      <c r="C125" s="350"/>
      <c r="D125" s="155" t="s">
        <v>193</v>
      </c>
      <c r="E125" s="111">
        <f ca="1">SUM(E113:E124)</f>
        <v>1040.2507076863699</v>
      </c>
      <c r="F125" s="111" t="e">
        <f ca="1">SUM(F113:F124)</f>
        <v>#VALUE!</v>
      </c>
      <c r="G125" s="112">
        <f ca="1">SUM(G113:G124)</f>
        <v>4121.9103175005903</v>
      </c>
    </row>
    <row r="126" spans="1:7" x14ac:dyDescent="0.25">
      <c r="A126" s="316"/>
      <c r="C126" s="350"/>
      <c r="D126" s="169" t="s">
        <v>232</v>
      </c>
      <c r="E126" s="113">
        <f ca="1">E125-OFFSET('Calcs - Discounted cash flows'!$C$26, 45, $D$6+1)</f>
        <v>-732.29798448656447</v>
      </c>
      <c r="F126" s="113" t="e">
        <f ca="1">F125-OFFSET('Calcs - Discounted cash flows'!$C$26, 45, $D$6+2)</f>
        <v>#VALUE!</v>
      </c>
      <c r="G126" s="114">
        <f ca="1">G125-OFFSET('Calcs - Discounted cash flows'!$C$26, 45, $D$6+3)</f>
        <v>-944.31109045407447</v>
      </c>
    </row>
    <row r="127" spans="1:7" x14ac:dyDescent="0.25">
      <c r="A127" s="317"/>
      <c r="C127" s="351"/>
      <c r="D127" s="170" t="s">
        <v>233</v>
      </c>
      <c r="E127" s="54">
        <f ca="1">E126/OFFSET('Calcs - Discounted cash flows'!$C$26, 45, $D$6+1)</f>
        <v>-0.41313278880302806</v>
      </c>
      <c r="F127" s="54" t="e">
        <f ca="1">F126/OFFSET('Calcs - Discounted cash flows'!$C$26, 45, $D$6+2)</f>
        <v>#VALUE!</v>
      </c>
      <c r="G127" s="55">
        <f ca="1">G126/OFFSET('Calcs - Discounted cash flows'!$C$26, 45, $D$6+3)</f>
        <v>-0.18639356917393624</v>
      </c>
    </row>
    <row r="129" spans="1:5" x14ac:dyDescent="0.25">
      <c r="A129" s="61" t="s">
        <v>48</v>
      </c>
    </row>
    <row r="130" spans="1:5" ht="110.1" customHeight="1" x14ac:dyDescent="0.25">
      <c r="A130" s="315" t="s">
        <v>234</v>
      </c>
      <c r="D130" s="28" t="s">
        <v>235</v>
      </c>
      <c r="E130" s="76" t="s">
        <v>236</v>
      </c>
    </row>
    <row r="131" spans="1:5" ht="142.5" customHeight="1" x14ac:dyDescent="0.25">
      <c r="A131" s="317"/>
      <c r="D131" s="172" t="e">
        <f ca="1">AVERAGE(E92,E109,F109,F92,G92,G109,E126,F126,G126)</f>
        <v>#VALUE!</v>
      </c>
      <c r="E131" s="171" t="e">
        <f ca="1">AVERAGE(E93,E110,F93,F110,G93,G110,E127,F127,G127)</f>
        <v>#VALUE!</v>
      </c>
    </row>
  </sheetData>
  <mergeCells count="12">
    <mergeCell ref="A130:A131"/>
    <mergeCell ref="C112:C127"/>
    <mergeCell ref="C95:C110"/>
    <mergeCell ref="C30:C43"/>
    <mergeCell ref="C60:C73"/>
    <mergeCell ref="C45:C58"/>
    <mergeCell ref="C78:C93"/>
    <mergeCell ref="C10:C17"/>
    <mergeCell ref="E4:E5"/>
    <mergeCell ref="A11:A25"/>
    <mergeCell ref="A30:A73"/>
    <mergeCell ref="A78:A127"/>
  </mergeCells>
  <dataValidations count="1">
    <dataValidation type="list" showInputMessage="1" showErrorMessage="1" sqref="D5" xr:uid="{5781644D-8563-48E4-8949-A0BC94F8D60A}">
      <formula1>"Back-loaded, Front-loaded"</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showInputMessage="1" showErrorMessage="1" xr:uid="{EDAA7AC8-F59C-4A38-9B39-6709B937B2E5}">
          <x14:formula1>
            <xm:f>Inputs!$D$38:$H$38</xm:f>
          </x14:formula1>
          <xm:sqref>D4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iTree Document" ma:contentTypeID="0x01010017373BD072151744BF62D2EC2F5E4683007AA43A2A80FCE5469E535CECA04EF9F2" ma:contentTypeVersion="42" ma:contentTypeDescription="Create a new document." ma:contentTypeScope="" ma:versionID="e492925a79f4755dcd59539e3d2c7034">
  <xsd:schema xmlns:xsd="http://www.w3.org/2001/XMLSchema" xmlns:xs="http://www.w3.org/2001/XMLSchema" xmlns:p="http://schemas.microsoft.com/office/2006/metadata/properties" xmlns:ns1="http://schemas.microsoft.com/sharepoint/v3" xmlns:ns2="f3702602-1923-414e-b8fa-1cf1166a04f9" xmlns:ns3="62f1fba9-5276-4610-b149-ea9653848854" xmlns:ns4="58a6f171-52cb-4404-b47d-af1c8daf8fd1" xmlns:ns5="8670e516-b8ce-4d0b-944a-cee4985e1002" targetNamespace="http://schemas.microsoft.com/office/2006/metadata/properties" ma:root="true" ma:fieldsID="ea22b7d818d8ea7371dda259ca573df6" ns1:_="" ns2:_="" ns3:_="" ns4:_="" ns5:_="">
    <xsd:import namespace="http://schemas.microsoft.com/sharepoint/v3"/>
    <xsd:import namespace="f3702602-1923-414e-b8fa-1cf1166a04f9"/>
    <xsd:import namespace="62f1fba9-5276-4610-b149-ea9653848854"/>
    <xsd:import namespace="58a6f171-52cb-4404-b47d-af1c8daf8fd1"/>
    <xsd:import namespace="8670e516-b8ce-4d0b-944a-cee4985e1002"/>
    <xsd:element name="properties">
      <xsd:complexType>
        <xsd:sequence>
          <xsd:element name="documentManagement">
            <xsd:complexType>
              <xsd:all>
                <xsd:element ref="ns2:MfE_ECM_TMID" minOccurs="0"/>
                <xsd:element ref="ns2:MfE_ECM_Purpose" minOccurs="0"/>
                <xsd:element ref="ns2:MfE_ECM_RequestSummary" minOccurs="0"/>
                <xsd:element ref="ns3:Minister" minOccurs="0"/>
                <xsd:element ref="ns3:Agency" minOccurs="0"/>
                <xsd:element ref="ns2:MfE_ECM_MTSType" minOccurs="0"/>
                <xsd:element ref="ns2:MfE_ECM_PageCount" minOccurs="0"/>
                <xsd:element ref="ns2:MfE_ECM_Author" minOccurs="0"/>
                <xsd:element ref="ns2:MfE_ECM_Directorate" minOccurs="0"/>
                <xsd:element ref="ns2:MfE_ECM_Manager" minOccurs="0"/>
                <xsd:element ref="ns2:MfE_ECM_Director" minOccurs="0"/>
                <xsd:element ref="ns2:MfE_ECM_SecurityLevel" minOccurs="0"/>
                <xsd:element ref="ns2:MfE_ECM_SubSecurityLevel" minOccurs="0"/>
                <xsd:element ref="ns1:_ip_UnifiedCompliancePolicyProperties" minOccurs="0"/>
                <xsd:element ref="ns4:_dlc_DocIdUrl" minOccurs="0"/>
                <xsd:element ref="ns4:_dlc_DocIdPersistId" minOccurs="0"/>
                <xsd:element ref="ns5:MediaServiceFastMetadata" minOccurs="0"/>
                <xsd:element ref="ns5:MediaServiceAutoKeyPoints" minOccurs="0"/>
                <xsd:element ref="ns5:MediaServiceKeyPoints" minOccurs="0"/>
                <xsd:element ref="ns5:MediaServiceMetadata" minOccurs="0"/>
                <xsd:element ref="ns4:_dlc_DocId" minOccurs="0"/>
                <xsd:element ref="ns1:_ip_UnifiedCompliancePolicyUIAction" minOccurs="0"/>
                <xsd:element ref="ns3:SharedWithUsers" minOccurs="0"/>
                <xsd:element ref="ns3:SharedWithDetails" minOccurs="0"/>
                <xsd:element ref="ns5:MediaServiceAutoTags" minOccurs="0"/>
                <xsd:element ref="ns5:MediaServiceOCR" minOccurs="0"/>
                <xsd:element ref="ns5:MediaServiceGenerationTime" minOccurs="0"/>
                <xsd:element ref="ns5:MediaServiceEventHashCode" minOccurs="0"/>
                <xsd:element ref="ns5:MediaServiceDateTaken" minOccurs="0"/>
                <xsd:element ref="ns5:lcf76f155ced4ddcb4097134ff3c332f" minOccurs="0"/>
                <xsd:element ref="ns4:TaxCatchAll" minOccurs="0"/>
                <xsd:element ref="ns5:MediaServiceLocation" minOccurs="0"/>
                <xsd:element ref="ns5:InScope_x003f_" minOccurs="0"/>
                <xsd:element ref="ns5:Releaseinfull_x003f_" minOccurs="0"/>
                <xsd:element ref="ns5:Withholdgrounds" minOccurs="0"/>
                <xsd:element ref="ns5:MediaLengthInSeconds" minOccurs="0"/>
                <xsd:element ref="ns5:MediaServiceObjectDetectorVersions" minOccurs="0"/>
                <xsd:element ref="ns5:Inscope" minOccurs="0"/>
                <xsd:element ref="ns5:_Flow_SignoffStatus" minOccurs="0"/>
                <xsd:element ref="ns5:MediaServiceSearchProperties" minOccurs="0"/>
                <xsd:element ref="ns5: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2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702602-1923-414e-b8fa-1cf1166a04f9" elementFormDefault="qualified">
    <xsd:import namespace="http://schemas.microsoft.com/office/2006/documentManagement/types"/>
    <xsd:import namespace="http://schemas.microsoft.com/office/infopath/2007/PartnerControls"/>
    <xsd:element name="MfE_ECM_TMID" ma:index="2" nillable="true" ma:displayName="Identifier" ma:internalName="MfE_ECM_TMID">
      <xsd:simpleType>
        <xsd:restriction base="dms:Text">
          <xsd:maxLength value="20"/>
        </xsd:restriction>
      </xsd:simpleType>
    </xsd:element>
    <xsd:element name="MfE_ECM_Purpose" ma:index="3" nillable="true" ma:displayName="Purpose" ma:description="Seeks decision to delay VCM report back from Nov 22 to Dec 22" ma:format="Dropdown" ma:internalName="MfE_ECM_Purpose">
      <xsd:simpleType>
        <xsd:restriction base="dms:Note">
          <xsd:maxLength value="255"/>
        </xsd:restriction>
      </xsd:simpleType>
    </xsd:element>
    <xsd:element name="MfE_ECM_RequestSummary" ma:index="4" nillable="true" ma:displayName="Request Summary" ma:internalName="MfE_ECM_RequestSummary">
      <xsd:simpleType>
        <xsd:restriction base="dms:Text">
          <xsd:maxLength value="150"/>
        </xsd:restriction>
      </xsd:simpleType>
    </xsd:element>
    <xsd:element name="MfE_ECM_MTSType" ma:index="7" nillable="true" ma:displayName="MTS Type" ma:internalName="MfE_ECM_MTSType">
      <xsd:simpleType>
        <xsd:restriction base="dms:Text">
          <xsd:maxLength value="20"/>
        </xsd:restriction>
      </xsd:simpleType>
    </xsd:element>
    <xsd:element name="MfE_ECM_PageCount" ma:index="8" nillable="true" ma:displayName="Page Count" ma:internalName="MfE_ECM_PageCount">
      <xsd:simpleType>
        <xsd:restriction base="dms:Text">
          <xsd:maxLength value="10"/>
        </xsd:restriction>
      </xsd:simpleType>
    </xsd:element>
    <xsd:element name="MfE_ECM_Author" ma:index="9" nillable="true" ma:displayName="Document Author" ma:internalName="MfE_ECM_Author">
      <xsd:simpleType>
        <xsd:restriction base="dms:Text">
          <xsd:maxLength value="50"/>
        </xsd:restriction>
      </xsd:simpleType>
    </xsd:element>
    <xsd:element name="MfE_ECM_Directorate" ma:index="10" nillable="true" ma:displayName="Directorate" ma:internalName="MfE_ECM_Directorate">
      <xsd:simpleType>
        <xsd:restriction base="dms:Text">
          <xsd:maxLength value="50"/>
        </xsd:restriction>
      </xsd:simpleType>
    </xsd:element>
    <xsd:element name="MfE_ECM_Manager" ma:index="11" nillable="true" ma:displayName="Manager" ma:internalName="MfE_ECM_Manager">
      <xsd:simpleType>
        <xsd:restriction base="dms:Text">
          <xsd:maxLength value="50"/>
        </xsd:restriction>
      </xsd:simpleType>
    </xsd:element>
    <xsd:element name="MfE_ECM_Director" ma:index="12" nillable="true" ma:displayName="Director" ma:internalName="MfE_ECM_Director">
      <xsd:simpleType>
        <xsd:restriction base="dms:Text">
          <xsd:maxLength value="50"/>
        </xsd:restriction>
      </xsd:simpleType>
    </xsd:element>
    <xsd:element name="MfE_ECM_SecurityLevel" ma:index="13" nillable="true" ma:displayName="Security Level" ma:internalName="MfE_ECM_SecurityLevel">
      <xsd:simpleType>
        <xsd:restriction base="dms:Text">
          <xsd:maxLength value="30"/>
        </xsd:restriction>
      </xsd:simpleType>
    </xsd:element>
    <xsd:element name="MfE_ECM_SubSecurityLevel" ma:index="14" nillable="true" ma:displayName="Sub Security Level" ma:internalName="MfE_ECM_SubSecurityLevel">
      <xsd:simpleType>
        <xsd:restriction base="dms:Text">
          <xsd:maxLength value="30"/>
        </xsd:restriction>
      </xsd:simpleType>
    </xsd:element>
  </xsd:schema>
  <xsd:schema xmlns:xsd="http://www.w3.org/2001/XMLSchema" xmlns:xs="http://www.w3.org/2001/XMLSchema" xmlns:dms="http://schemas.microsoft.com/office/2006/documentManagement/types" xmlns:pc="http://schemas.microsoft.com/office/infopath/2007/PartnerControls" targetNamespace="62f1fba9-5276-4610-b149-ea9653848854" elementFormDefault="qualified">
    <xsd:import namespace="http://schemas.microsoft.com/office/2006/documentManagement/types"/>
    <xsd:import namespace="http://schemas.microsoft.com/office/infopath/2007/PartnerControls"/>
    <xsd:element name="Minister" ma:index="5" nillable="true" ma:displayName="Minister" ma:internalName="Minister">
      <xsd:simpleType>
        <xsd:restriction base="dms:Text">
          <xsd:maxLength value="255"/>
        </xsd:restriction>
      </xsd:simpleType>
    </xsd:element>
    <xsd:element name="Agency" ma:index="6" nillable="true" ma:displayName="Agency" ma:internalName="Agency">
      <xsd:simpleType>
        <xsd:restriction base="dms:Text">
          <xsd:maxLength value="255"/>
        </xsd:restriction>
      </xsd:simpleType>
    </xsd:element>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8a6f171-52cb-4404-b47d-af1c8daf8fd1" elementFormDefault="qualified">
    <xsd:import namespace="http://schemas.microsoft.com/office/2006/documentManagement/types"/>
    <xsd:import namespace="http://schemas.microsoft.com/office/infopath/2007/PartnerControls"/>
    <xsd:element name="_dlc_DocIdUrl" ma:index="1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7" nillable="true" ma:displayName="Persist ID" ma:description="Keep ID on add." ma:hidden="true" ma:internalName="_dlc_DocIdPersistId" ma:readOnly="true">
      <xsd:simpleType>
        <xsd:restriction base="dms:Boolean"/>
      </xsd:simpleType>
    </xsd:element>
    <xsd:element name="_dlc_DocId" ma:index="26" nillable="true" ma:displayName="Document ID Value" ma:description="The value of the document ID assigned to this item." ma:internalName="_dlc_DocId" ma:readOnly="true">
      <xsd:simpleType>
        <xsd:restriction base="dms:Text"/>
      </xsd:simpleType>
    </xsd:element>
    <xsd:element name="TaxCatchAll" ma:index="39" nillable="true" ma:displayName="Taxonomy Catch All Column" ma:hidden="true" ma:list="{4ccefaf0-83de-4a62-8cc9-ce0546752b78}" ma:internalName="TaxCatchAll" ma:showField="CatchAllData" ma:web="62f1fba9-5276-4610-b149-ea965384885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670e516-b8ce-4d0b-944a-cee4985e1002" elementFormDefault="qualified">
    <xsd:import namespace="http://schemas.microsoft.com/office/2006/documentManagement/types"/>
    <xsd:import namespace="http://schemas.microsoft.com/office/infopath/2007/PartnerControls"/>
    <xsd:element name="MediaServiceFastMetadata" ma:index="22" nillable="true" ma:displayName="MediaServiceFastMetadata" ma:hidden="true" ma:internalName="MediaServiceFastMetadata" ma:readOnly="true">
      <xsd:simpleType>
        <xsd:restriction base="dms:Note"/>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Metadata" ma:index="25" nillable="true" ma:displayName="MediaServiceMetadata" ma:hidden="true" ma:internalName="MediaServiceMetadata" ma:readOnly="true">
      <xsd:simpleType>
        <xsd:restriction base="dms:Note"/>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ternalName="MediaServiceDateTaken" ma:readOnly="true">
      <xsd:simpleType>
        <xsd:restriction base="dms:Text"/>
      </xsd:simpleType>
    </xsd:element>
    <xsd:element name="lcf76f155ced4ddcb4097134ff3c332f" ma:index="38" nillable="true" ma:taxonomy="true" ma:internalName="lcf76f155ced4ddcb4097134ff3c332f" ma:taxonomyFieldName="MediaServiceImageTags" ma:displayName="Image Tags" ma:readOnly="false" ma:fieldId="{5cf76f15-5ced-4ddc-b409-7134ff3c332f}" ma:taxonomyMulti="true" ma:sspId="cebe92e3-83b2-4842-a6bd-e7cffea926d3" ma:termSetId="09814cd3-568e-fe90-9814-8d621ff8fb84" ma:anchorId="fba54fb3-c3e1-fe81-a776-ca4b69148c4d" ma:open="true" ma:isKeyword="false">
      <xsd:complexType>
        <xsd:sequence>
          <xsd:element ref="pc:Terms" minOccurs="0" maxOccurs="1"/>
        </xsd:sequence>
      </xsd:complexType>
    </xsd:element>
    <xsd:element name="MediaServiceLocation" ma:index="40" nillable="true" ma:displayName="Location" ma:internalName="MediaServiceLocation" ma:readOnly="true">
      <xsd:simpleType>
        <xsd:restriction base="dms:Text"/>
      </xsd:simpleType>
    </xsd:element>
    <xsd:element name="InScope_x003f_" ma:index="41" nillable="true" ma:displayName="In Scope?" ma:format="Dropdown" ma:internalName="InScope_x003f_">
      <xsd:simpleType>
        <xsd:restriction base="dms:Text">
          <xsd:maxLength value="255"/>
        </xsd:restriction>
      </xsd:simpleType>
    </xsd:element>
    <xsd:element name="Releaseinfull_x003f_" ma:index="42" nillable="true" ma:displayName="Release in full?" ma:format="Dropdown" ma:internalName="Releaseinfull_x003f_">
      <xsd:simpleType>
        <xsd:restriction base="dms:Text">
          <xsd:maxLength value="255"/>
        </xsd:restriction>
      </xsd:simpleType>
    </xsd:element>
    <xsd:element name="Withholdgrounds" ma:index="43" nillable="true" ma:displayName="Withhold grounds" ma:format="Dropdown" ma:internalName="Withholdgrounds">
      <xsd:simpleType>
        <xsd:restriction base="dms:Text">
          <xsd:maxLength value="255"/>
        </xsd:restriction>
      </xsd:simpleType>
    </xsd:element>
    <xsd:element name="MediaLengthInSeconds" ma:index="44" nillable="true" ma:displayName="MediaLengthInSeconds" ma:hidden="true" ma:internalName="MediaLengthInSeconds" ma:readOnly="true">
      <xsd:simpleType>
        <xsd:restriction base="dms:Unknown"/>
      </xsd:simpleType>
    </xsd:element>
    <xsd:element name="MediaServiceObjectDetectorVersions" ma:index="45" nillable="true" ma:displayName="MediaServiceObjectDetectorVersions" ma:description="" ma:hidden="true" ma:indexed="true" ma:internalName="MediaServiceObjectDetectorVersions" ma:readOnly="true">
      <xsd:simpleType>
        <xsd:restriction base="dms:Text"/>
      </xsd:simpleType>
    </xsd:element>
    <xsd:element name="Inscope" ma:index="46" nillable="true" ma:displayName="In scope" ma:format="Dropdown" ma:internalName="Inscope">
      <xsd:simpleType>
        <xsd:restriction base="dms:Text">
          <xsd:maxLength value="255"/>
        </xsd:restriction>
      </xsd:simpleType>
    </xsd:element>
    <xsd:element name="_Flow_SignoffStatus" ma:index="47" nillable="true" ma:displayName="Sign-off status" ma:internalName="Sign_x002d_off_x0020_status">
      <xsd:simpleType>
        <xsd:restriction base="dms:Text"/>
      </xsd:simpleType>
    </xsd:element>
    <xsd:element name="MediaServiceSearchProperties" ma:index="48" nillable="true" ma:displayName="MediaServiceSearchProperties" ma:hidden="true" ma:internalName="MediaServiceSearchProperties" ma:readOnly="true">
      <xsd:simpleType>
        <xsd:restriction base="dms:Note"/>
      </xsd:simpleType>
    </xsd:element>
    <xsd:element name="MediaServiceBillingMetadata" ma:index="4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MfE_ECM_SecurityLevel xmlns="f3702602-1923-414e-b8fa-1cf1166a04f9" xsi:nil="true"/>
    <MfE_ECM_TMID xmlns="f3702602-1923-414e-b8fa-1cf1166a04f9" xsi:nil="true"/>
    <MfE_ECM_SubSecurityLevel xmlns="f3702602-1923-414e-b8fa-1cf1166a04f9" xsi:nil="true"/>
    <_ip_UnifiedCompliancePolicyUIAction xmlns="http://schemas.microsoft.com/sharepoint/v3" xsi:nil="true"/>
    <Inscope xmlns="8670e516-b8ce-4d0b-944a-cee4985e1002" xsi:nil="true"/>
    <MfE_ECM_Directorate xmlns="f3702602-1923-414e-b8fa-1cf1166a04f9" xsi:nil="true"/>
    <MfE_ECM_Director xmlns="f3702602-1923-414e-b8fa-1cf1166a04f9" xsi:nil="true"/>
    <lcf76f155ced4ddcb4097134ff3c332f xmlns="8670e516-b8ce-4d0b-944a-cee4985e1002">
      <Terms xmlns="http://schemas.microsoft.com/office/infopath/2007/PartnerControls"/>
    </lcf76f155ced4ddcb4097134ff3c332f>
    <InScope_x003f_ xmlns="8670e516-b8ce-4d0b-944a-cee4985e1002" xsi:nil="true"/>
    <Agency xmlns="62f1fba9-5276-4610-b149-ea9653848854" xsi:nil="true"/>
    <MfE_ECM_PageCount xmlns="f3702602-1923-414e-b8fa-1cf1166a04f9" xsi:nil="true"/>
    <MfE_ECM_Manager xmlns="f3702602-1923-414e-b8fa-1cf1166a04f9" xsi:nil="true"/>
    <_ip_UnifiedCompliancePolicyProperties xmlns="http://schemas.microsoft.com/sharepoint/v3" xsi:nil="true"/>
    <Releaseinfull_x003f_ xmlns="8670e516-b8ce-4d0b-944a-cee4985e1002" xsi:nil="true"/>
    <Minister xmlns="62f1fba9-5276-4610-b149-ea9653848854" xsi:nil="true"/>
    <Withholdgrounds xmlns="8670e516-b8ce-4d0b-944a-cee4985e1002" xsi:nil="true"/>
    <MfE_ECM_Purpose xmlns="f3702602-1923-414e-b8fa-1cf1166a04f9" xsi:nil="true"/>
    <MfE_ECM_MTSType xmlns="f3702602-1923-414e-b8fa-1cf1166a04f9" xsi:nil="true"/>
    <MfE_ECM_Author xmlns="f3702602-1923-414e-b8fa-1cf1166a04f9" xsi:nil="true"/>
    <TaxCatchAll xmlns="58a6f171-52cb-4404-b47d-af1c8daf8fd1" xsi:nil="true"/>
    <_Flow_SignoffStatus xmlns="8670e516-b8ce-4d0b-944a-cee4985e1002" xsi:nil="true"/>
    <MfE_ECM_RequestSummary xmlns="f3702602-1923-414e-b8fa-1cf1166a04f9" xsi:nil="true"/>
    <_dlc_DocId xmlns="58a6f171-52cb-4404-b47d-af1c8daf8fd1">ECM-1957364731-227890</_dlc_DocId>
    <_dlc_DocIdUrl xmlns="58a6f171-52cb-4404-b47d-af1c8daf8fd1">
      <Url>https://ministryforenvironment.sharepoint.com/sites/ECM-MS-TM/_layouts/15/DocIdRedir.aspx?ID=ECM-1957364731-227890</Url>
      <Description>ECM-1957364731-227890</Description>
    </_dlc_DocIdUrl>
  </documentManagement>
</p:properties>
</file>

<file path=customXml/itemProps1.xml><?xml version="1.0" encoding="utf-8"?>
<ds:datastoreItem xmlns:ds="http://schemas.openxmlformats.org/officeDocument/2006/customXml" ds:itemID="{0FEE0AE3-8C5D-4A2E-849D-06772BFF7085}"/>
</file>

<file path=customXml/itemProps2.xml><?xml version="1.0" encoding="utf-8"?>
<ds:datastoreItem xmlns:ds="http://schemas.openxmlformats.org/officeDocument/2006/customXml" ds:itemID="{74A9C10F-2B92-4A55-B3E0-5714C84265E8}"/>
</file>

<file path=customXml/itemProps3.xml><?xml version="1.0" encoding="utf-8"?>
<ds:datastoreItem xmlns:ds="http://schemas.openxmlformats.org/officeDocument/2006/customXml" ds:itemID="{C23B56BE-E489-4022-A852-61A1B076EA35}"/>
</file>

<file path=customXml/itemProps4.xml><?xml version="1.0" encoding="utf-8"?>
<ds:datastoreItem xmlns:ds="http://schemas.openxmlformats.org/officeDocument/2006/customXml" ds:itemID="{EEB9EDB2-CABE-45E5-B4F2-1E163659F54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Cover sheet</vt:lpstr>
      <vt:lpstr>Checks</vt:lpstr>
      <vt:lpstr>Inputs</vt:lpstr>
      <vt:lpstr>Calcs - Volume Scenarios</vt:lpstr>
      <vt:lpstr>Calcs - Price Scenarios</vt:lpstr>
      <vt:lpstr>Calcs - Price x Vol</vt:lpstr>
      <vt:lpstr>Calcs - Discounted cash flows</vt:lpstr>
      <vt:lpstr>Outputs</vt:lpstr>
      <vt:lpstr>Sensitivity (purchase timing)</vt:lpstr>
      <vt:lpstr>Sensitivity (discount rate +1%)</vt:lpstr>
      <vt:lpstr>Sensitivity (discount rate 8%)</vt:lpstr>
      <vt:lpstr>ARCHIVE</vt:lpstr>
      <vt:lpstr>Sensitivity (escalation)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2025-03-25T22:02:20Z</dcterms:created>
  <dcterms:modified xsi:type="dcterms:W3CDTF">2025-03-25T23:09:41Z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0x01010017373BD072151744BF62D2EC2F5E4683007AA43A2A80FCE5469E535CECA04EF9F2</vt:lpwstr>
  </property>
  <property fmtid="{D5CDD505-2E9C-101B-9397-08002B2CF9AE}" pid="3" name="_dlc_DocIdItemGuid">
    <vt:lpwstr>59658b6a-fb35-4721-b0bd-b1904dc0a72c</vt:lpwstr>
  </property>
  <property fmtid="{D5CDD505-2E9C-101B-9397-08002B2CF9AE}" pid="4" name="MediaServiceImageTags">
    <vt:lpwstr/>
  </property>
</Properties>
</file>