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24226"/>
  <xr:revisionPtr revIDLastSave="6" documentId="13_ncr:1_{1ABA1480-6CCE-44B2-8905-D1B8D6D2AEB7}" xr6:coauthVersionLast="47" xr6:coauthVersionMax="47" xr10:uidLastSave="{D39F82D7-D9C8-4F37-9AA9-2BA2FDD23942}"/>
  <bookViews>
    <workbookView xWindow="26325" yWindow="-16320" windowWidth="29040" windowHeight="15840" firstSheet="5" activeTab="5" xr2:uid="{00000000-000D-0000-FFFF-FFFF00000000}"/>
  </bookViews>
  <sheets>
    <sheet name="Model description" sheetId="14" r:id="rId1"/>
    <sheet name="Harvest calc" sheetId="17" r:id="rId2"/>
    <sheet name="Emission factors" sheetId="5" r:id="rId3"/>
    <sheet name="Assumptions" sheetId="1" r:id="rId4"/>
    <sheet name="Investment results" sheetId="12" r:id="rId5"/>
    <sheet name="AOCL calculations" sheetId="18" r:id="rId6"/>
    <sheet name="Farm data" sheetId="15" r:id="rId7"/>
  </sheets>
  <definedNames>
    <definedName name="term">'Investment results'!$C$14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8" l="1"/>
  <c r="F5" i="18"/>
  <c r="C14" i="5"/>
  <c r="C59" i="18"/>
  <c r="F7" i="18" s="1"/>
  <c r="C61" i="18"/>
  <c r="C60" i="18"/>
  <c r="C58" i="18"/>
  <c r="C57" i="18"/>
  <c r="F8" i="18" s="1"/>
  <c r="C56" i="18"/>
  <c r="F6" i="18" s="1"/>
  <c r="Z54" i="18"/>
  <c r="Y54" i="18"/>
  <c r="X54" i="18"/>
  <c r="W54" i="18"/>
  <c r="V54" i="18"/>
  <c r="U54" i="18"/>
  <c r="T54" i="18"/>
  <c r="S54" i="18"/>
  <c r="R54" i="18"/>
  <c r="Q54" i="18"/>
  <c r="P54" i="18"/>
  <c r="O54" i="18"/>
  <c r="N54" i="18"/>
  <c r="M54" i="18"/>
  <c r="L54" i="18"/>
  <c r="K54" i="18"/>
  <c r="J54" i="18"/>
  <c r="I54" i="18"/>
  <c r="H54" i="18"/>
  <c r="G54" i="18"/>
  <c r="F54" i="18"/>
  <c r="E54" i="18"/>
  <c r="D54" i="18"/>
  <c r="C54" i="18"/>
  <c r="D47" i="18"/>
  <c r="E47" i="18" s="1"/>
  <c r="F47" i="18" s="1"/>
  <c r="G47" i="18" s="1"/>
  <c r="H47" i="18" s="1"/>
  <c r="I47" i="18" s="1"/>
  <c r="J47" i="18" s="1"/>
  <c r="K47" i="18" s="1"/>
  <c r="L47" i="18" s="1"/>
  <c r="M47" i="18" s="1"/>
  <c r="N47" i="18" s="1"/>
  <c r="O47" i="18" s="1"/>
  <c r="P47" i="18" s="1"/>
  <c r="Q47" i="18" s="1"/>
  <c r="R47" i="18" s="1"/>
  <c r="S47" i="18" s="1"/>
  <c r="T47" i="18" s="1"/>
  <c r="U47" i="18" s="1"/>
  <c r="V47" i="18" s="1"/>
  <c r="W47" i="18" s="1"/>
  <c r="X47" i="18" s="1"/>
  <c r="Y47" i="18" s="1"/>
  <c r="Z47" i="18" s="1"/>
  <c r="C24" i="18"/>
  <c r="B24" i="18"/>
  <c r="AB4" i="17"/>
  <c r="X49" i="17"/>
  <c r="X48" i="17"/>
  <c r="X47" i="17"/>
  <c r="S49" i="17"/>
  <c r="Q53" i="17"/>
  <c r="Q52" i="17"/>
  <c r="Q51" i="17"/>
  <c r="Q50" i="17"/>
  <c r="Q49" i="17"/>
  <c r="Q48" i="17"/>
  <c r="Q47" i="17"/>
  <c r="Q46" i="17"/>
  <c r="Q45" i="17"/>
  <c r="H19" i="17"/>
  <c r="H51" i="17"/>
  <c r="H50" i="17"/>
  <c r="H47" i="17"/>
  <c r="H46" i="17"/>
  <c r="H43" i="17"/>
  <c r="H42" i="17"/>
  <c r="H39" i="17"/>
  <c r="H38" i="17"/>
  <c r="H35" i="17"/>
  <c r="H34" i="17"/>
  <c r="H31" i="17"/>
  <c r="H30" i="17"/>
  <c r="H27" i="17"/>
  <c r="H26" i="17"/>
  <c r="H23" i="17"/>
  <c r="H22" i="17"/>
  <c r="H18" i="17"/>
  <c r="E19" i="1"/>
  <c r="I33" i="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32" i="1"/>
  <c r="M4" i="5"/>
  <c r="M5" i="5"/>
  <c r="M6" i="5"/>
  <c r="M7" i="5"/>
  <c r="M8" i="5"/>
  <c r="M9" i="5"/>
  <c r="M10" i="5"/>
  <c r="M11" i="5"/>
  <c r="M12" i="5"/>
  <c r="M13" i="5"/>
  <c r="M14" i="5"/>
  <c r="M15" i="5"/>
  <c r="M16" i="5"/>
  <c r="M17" i="5"/>
  <c r="M18" i="5"/>
  <c r="M19" i="5"/>
  <c r="M20" i="5"/>
  <c r="M21" i="5"/>
  <c r="M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3" i="5"/>
  <c r="O24" i="1"/>
  <c r="P24" i="1"/>
  <c r="P23" i="1"/>
  <c r="O23" i="1"/>
  <c r="H181" i="12"/>
  <c r="G181" i="12"/>
  <c r="F181" i="12"/>
  <c r="E181" i="12"/>
  <c r="D181" i="12"/>
  <c r="C181" i="12"/>
  <c r="K3" i="5"/>
  <c r="L3" i="5"/>
  <c r="N3" i="5"/>
  <c r="O3" i="5"/>
  <c r="P3" i="5"/>
  <c r="Q3" i="5"/>
  <c r="R3" i="5"/>
  <c r="J3" i="5"/>
  <c r="J5" i="5"/>
  <c r="K5" i="5"/>
  <c r="L5" i="5"/>
  <c r="N5" i="5"/>
  <c r="O5" i="5"/>
  <c r="P5" i="5"/>
  <c r="Q5" i="5"/>
  <c r="R5" i="5"/>
  <c r="J6" i="5"/>
  <c r="K6" i="5"/>
  <c r="L6" i="5"/>
  <c r="N6" i="5"/>
  <c r="O6" i="5"/>
  <c r="P6" i="5"/>
  <c r="Q6" i="5"/>
  <c r="R6" i="5"/>
  <c r="J7" i="5"/>
  <c r="K7" i="5"/>
  <c r="L7" i="5"/>
  <c r="N7" i="5"/>
  <c r="O7" i="5"/>
  <c r="P7" i="5"/>
  <c r="Q7" i="5"/>
  <c r="R7" i="5"/>
  <c r="J8" i="5"/>
  <c r="K8" i="5"/>
  <c r="L8" i="5"/>
  <c r="N8" i="5"/>
  <c r="O8" i="5"/>
  <c r="P8" i="5"/>
  <c r="Q8" i="5"/>
  <c r="R8" i="5"/>
  <c r="J9" i="5"/>
  <c r="K9" i="5"/>
  <c r="L9" i="5"/>
  <c r="N9" i="5"/>
  <c r="O9" i="5"/>
  <c r="P9" i="5"/>
  <c r="Q9" i="5"/>
  <c r="R9" i="5"/>
  <c r="J10" i="5"/>
  <c r="K10" i="5"/>
  <c r="L10" i="5"/>
  <c r="N10" i="5"/>
  <c r="O10" i="5"/>
  <c r="P10" i="5"/>
  <c r="Q10" i="5"/>
  <c r="R10" i="5"/>
  <c r="J11" i="5"/>
  <c r="K11" i="5"/>
  <c r="L11" i="5"/>
  <c r="N11" i="5"/>
  <c r="O11" i="5"/>
  <c r="P11" i="5"/>
  <c r="Q11" i="5"/>
  <c r="R11" i="5"/>
  <c r="J12" i="5"/>
  <c r="K12" i="5"/>
  <c r="L12" i="5"/>
  <c r="N12" i="5"/>
  <c r="O12" i="5"/>
  <c r="P12" i="5"/>
  <c r="Q12" i="5"/>
  <c r="R12" i="5"/>
  <c r="J13" i="5"/>
  <c r="K13" i="5"/>
  <c r="L13" i="5"/>
  <c r="N13" i="5"/>
  <c r="O13" i="5"/>
  <c r="P13" i="5"/>
  <c r="Q13" i="5"/>
  <c r="R13" i="5"/>
  <c r="J14" i="5"/>
  <c r="K14" i="5"/>
  <c r="L14" i="5"/>
  <c r="N14" i="5"/>
  <c r="O14" i="5"/>
  <c r="P14" i="5"/>
  <c r="Q14" i="5"/>
  <c r="R14" i="5"/>
  <c r="J15" i="5"/>
  <c r="K15" i="5"/>
  <c r="L15" i="5"/>
  <c r="N15" i="5"/>
  <c r="O15" i="5"/>
  <c r="P15" i="5"/>
  <c r="Q15" i="5"/>
  <c r="R15" i="5"/>
  <c r="J16" i="5"/>
  <c r="K16" i="5"/>
  <c r="L16" i="5"/>
  <c r="N16" i="5"/>
  <c r="O16" i="5"/>
  <c r="P16" i="5"/>
  <c r="Q16" i="5"/>
  <c r="R16" i="5"/>
  <c r="J17" i="5"/>
  <c r="K17" i="5"/>
  <c r="L17" i="5"/>
  <c r="N17" i="5"/>
  <c r="O17" i="5"/>
  <c r="P17" i="5"/>
  <c r="Q17" i="5"/>
  <c r="R17" i="5"/>
  <c r="J18" i="5"/>
  <c r="K18" i="5"/>
  <c r="L18" i="5"/>
  <c r="N18" i="5"/>
  <c r="O18" i="5"/>
  <c r="P18" i="5"/>
  <c r="Q18" i="5"/>
  <c r="R18" i="5"/>
  <c r="J19" i="5"/>
  <c r="K19" i="5"/>
  <c r="L19" i="5"/>
  <c r="N19" i="5"/>
  <c r="O19" i="5"/>
  <c r="P19" i="5"/>
  <c r="Q19" i="5"/>
  <c r="R19" i="5"/>
  <c r="J20" i="5"/>
  <c r="K20" i="5"/>
  <c r="L20" i="5"/>
  <c r="N20" i="5"/>
  <c r="O20" i="5"/>
  <c r="P20" i="5"/>
  <c r="Q20" i="5"/>
  <c r="R20" i="5"/>
  <c r="J21" i="5"/>
  <c r="K21" i="5"/>
  <c r="L21" i="5"/>
  <c r="N21" i="5"/>
  <c r="O21" i="5"/>
  <c r="P21" i="5"/>
  <c r="Q21" i="5"/>
  <c r="R21" i="5"/>
  <c r="J22" i="5"/>
  <c r="K22" i="5"/>
  <c r="L22" i="5"/>
  <c r="N22" i="5"/>
  <c r="O22" i="5"/>
  <c r="P22" i="5"/>
  <c r="Q22" i="5"/>
  <c r="R22" i="5"/>
  <c r="J23" i="5"/>
  <c r="K23" i="5"/>
  <c r="L23" i="5"/>
  <c r="N23" i="5"/>
  <c r="O23" i="5"/>
  <c r="P23" i="5"/>
  <c r="Q23" i="5"/>
  <c r="R23" i="5"/>
  <c r="J24" i="5"/>
  <c r="K24" i="5"/>
  <c r="L24" i="5"/>
  <c r="N24" i="5"/>
  <c r="O24" i="5"/>
  <c r="P24" i="5"/>
  <c r="Q24" i="5"/>
  <c r="R24" i="5"/>
  <c r="J25" i="5"/>
  <c r="K25" i="5"/>
  <c r="L25" i="5"/>
  <c r="N25" i="5"/>
  <c r="O25" i="5"/>
  <c r="P25" i="5"/>
  <c r="Q25" i="5"/>
  <c r="R25" i="5"/>
  <c r="J26" i="5"/>
  <c r="K26" i="5"/>
  <c r="L26" i="5"/>
  <c r="N26" i="5"/>
  <c r="O26" i="5"/>
  <c r="P26" i="5"/>
  <c r="Q26" i="5"/>
  <c r="R26" i="5"/>
  <c r="J27" i="5"/>
  <c r="K27" i="5"/>
  <c r="L27" i="5"/>
  <c r="N27" i="5"/>
  <c r="O27" i="5"/>
  <c r="P27" i="5"/>
  <c r="Q27" i="5"/>
  <c r="R27" i="5"/>
  <c r="J28" i="5"/>
  <c r="K28" i="5"/>
  <c r="L28" i="5"/>
  <c r="N28" i="5"/>
  <c r="O28" i="5"/>
  <c r="P28" i="5"/>
  <c r="Q28" i="5"/>
  <c r="R28" i="5"/>
  <c r="J29" i="5"/>
  <c r="K29" i="5"/>
  <c r="L29" i="5"/>
  <c r="N29" i="5"/>
  <c r="O29" i="5"/>
  <c r="P29" i="5"/>
  <c r="Q29" i="5"/>
  <c r="R29" i="5"/>
  <c r="J30" i="5"/>
  <c r="K30" i="5"/>
  <c r="L30" i="5"/>
  <c r="N30" i="5"/>
  <c r="O30" i="5"/>
  <c r="P30" i="5"/>
  <c r="Q30" i="5"/>
  <c r="R30" i="5"/>
  <c r="J31" i="5"/>
  <c r="K31" i="5"/>
  <c r="L31" i="5"/>
  <c r="N31" i="5"/>
  <c r="O31" i="5"/>
  <c r="P31" i="5"/>
  <c r="Q31" i="5"/>
  <c r="R31" i="5"/>
  <c r="J32" i="5"/>
  <c r="K32" i="5"/>
  <c r="L32" i="5"/>
  <c r="N32" i="5"/>
  <c r="O32" i="5"/>
  <c r="P32" i="5"/>
  <c r="Q32" i="5"/>
  <c r="R32" i="5"/>
  <c r="J33" i="5"/>
  <c r="K33" i="5"/>
  <c r="L33" i="5"/>
  <c r="N33" i="5"/>
  <c r="O33" i="5"/>
  <c r="P33" i="5"/>
  <c r="Q33" i="5"/>
  <c r="R33" i="5"/>
  <c r="J34" i="5"/>
  <c r="K34" i="5"/>
  <c r="L34" i="5"/>
  <c r="N34" i="5"/>
  <c r="O34" i="5"/>
  <c r="P34" i="5"/>
  <c r="Q34" i="5"/>
  <c r="R34" i="5"/>
  <c r="J35" i="5"/>
  <c r="K35" i="5"/>
  <c r="L35" i="5"/>
  <c r="N35" i="5"/>
  <c r="O35" i="5"/>
  <c r="P35" i="5"/>
  <c r="Q35" i="5"/>
  <c r="R35" i="5"/>
  <c r="J36" i="5"/>
  <c r="K36" i="5"/>
  <c r="L36" i="5"/>
  <c r="N36" i="5"/>
  <c r="O36" i="5"/>
  <c r="P36" i="5"/>
  <c r="Q36" i="5"/>
  <c r="R36" i="5"/>
  <c r="J37" i="5"/>
  <c r="K37" i="5"/>
  <c r="L37" i="5"/>
  <c r="N37" i="5"/>
  <c r="O37" i="5"/>
  <c r="P37" i="5"/>
  <c r="Q37" i="5"/>
  <c r="R37" i="5"/>
  <c r="J38" i="5"/>
  <c r="K38" i="5"/>
  <c r="L38" i="5"/>
  <c r="N38" i="5"/>
  <c r="O38" i="5"/>
  <c r="P38" i="5"/>
  <c r="Q38" i="5"/>
  <c r="R38" i="5"/>
  <c r="J39" i="5"/>
  <c r="K39" i="5"/>
  <c r="L39" i="5"/>
  <c r="N39" i="5"/>
  <c r="O39" i="5"/>
  <c r="P39" i="5"/>
  <c r="Q39" i="5"/>
  <c r="R39" i="5"/>
  <c r="J40" i="5"/>
  <c r="K40" i="5"/>
  <c r="L40" i="5"/>
  <c r="N40" i="5"/>
  <c r="O40" i="5"/>
  <c r="P40" i="5"/>
  <c r="Q40" i="5"/>
  <c r="R40" i="5"/>
  <c r="J41" i="5"/>
  <c r="K41" i="5"/>
  <c r="L41" i="5"/>
  <c r="N41" i="5"/>
  <c r="O41" i="5"/>
  <c r="P41" i="5"/>
  <c r="Q41" i="5"/>
  <c r="R41" i="5"/>
  <c r="J42" i="5"/>
  <c r="K42" i="5"/>
  <c r="L42" i="5"/>
  <c r="N42" i="5"/>
  <c r="O42" i="5"/>
  <c r="P42" i="5"/>
  <c r="Q42" i="5"/>
  <c r="R42" i="5"/>
  <c r="J43" i="5"/>
  <c r="K43" i="5"/>
  <c r="L43" i="5"/>
  <c r="N43" i="5"/>
  <c r="O43" i="5"/>
  <c r="P43" i="5"/>
  <c r="Q43" i="5"/>
  <c r="R43" i="5"/>
  <c r="J44" i="5"/>
  <c r="K44" i="5"/>
  <c r="L44" i="5"/>
  <c r="N44" i="5"/>
  <c r="O44" i="5"/>
  <c r="P44" i="5"/>
  <c r="Q44" i="5"/>
  <c r="R44" i="5"/>
  <c r="J45" i="5"/>
  <c r="K45" i="5"/>
  <c r="L45" i="5"/>
  <c r="N45" i="5"/>
  <c r="O45" i="5"/>
  <c r="P45" i="5"/>
  <c r="Q45" i="5"/>
  <c r="R45" i="5"/>
  <c r="J46" i="5"/>
  <c r="K46" i="5"/>
  <c r="L46" i="5"/>
  <c r="N46" i="5"/>
  <c r="O46" i="5"/>
  <c r="P46" i="5"/>
  <c r="Q46" i="5"/>
  <c r="R46" i="5"/>
  <c r="J47" i="5"/>
  <c r="K47" i="5"/>
  <c r="L47" i="5"/>
  <c r="N47" i="5"/>
  <c r="O47" i="5"/>
  <c r="P47" i="5"/>
  <c r="Q47" i="5"/>
  <c r="R47" i="5"/>
  <c r="J48" i="5"/>
  <c r="K48" i="5"/>
  <c r="L48" i="5"/>
  <c r="N48" i="5"/>
  <c r="O48" i="5"/>
  <c r="P48" i="5"/>
  <c r="Q48" i="5"/>
  <c r="R48" i="5"/>
  <c r="J49" i="5"/>
  <c r="K49" i="5"/>
  <c r="L49" i="5"/>
  <c r="N49" i="5"/>
  <c r="O49" i="5"/>
  <c r="P49" i="5"/>
  <c r="Q49" i="5"/>
  <c r="R49" i="5"/>
  <c r="J50" i="5"/>
  <c r="K50" i="5"/>
  <c r="L50" i="5"/>
  <c r="N50" i="5"/>
  <c r="O50" i="5"/>
  <c r="P50" i="5"/>
  <c r="Q50" i="5"/>
  <c r="R50" i="5"/>
  <c r="J51" i="5"/>
  <c r="K51" i="5"/>
  <c r="L51" i="5"/>
  <c r="N51" i="5"/>
  <c r="O51" i="5"/>
  <c r="P51" i="5"/>
  <c r="Q51" i="5"/>
  <c r="R51" i="5"/>
  <c r="J52" i="5"/>
  <c r="K52" i="5"/>
  <c r="L52" i="5"/>
  <c r="N52" i="5"/>
  <c r="O52" i="5"/>
  <c r="P52" i="5"/>
  <c r="Q52" i="5"/>
  <c r="R52" i="5"/>
  <c r="O4" i="5"/>
  <c r="P4" i="5"/>
  <c r="Q4" i="5"/>
  <c r="R4" i="5"/>
  <c r="J4" i="5"/>
  <c r="K4" i="5"/>
  <c r="L4" i="5"/>
  <c r="Q2" i="5"/>
  <c r="R2" i="5"/>
  <c r="P2" i="5"/>
  <c r="O2" i="5"/>
  <c r="L2" i="5"/>
  <c r="M2" i="5"/>
  <c r="N2" i="5"/>
  <c r="K2" i="5"/>
  <c r="J2" i="5"/>
  <c r="V29" i="17"/>
  <c r="W17" i="17" s="1"/>
  <c r="P20" i="17"/>
  <c r="F4" i="17"/>
  <c r="Q31" i="17"/>
  <c r="AH5" i="17" s="1"/>
  <c r="Q32" i="17"/>
  <c r="AH6" i="17" s="1"/>
  <c r="Q33" i="17"/>
  <c r="AH7" i="17" s="1"/>
  <c r="Q34" i="17"/>
  <c r="AH8" i="17" s="1"/>
  <c r="Q35" i="17"/>
  <c r="AH9" i="17" s="1"/>
  <c r="Q36" i="17"/>
  <c r="AH10" i="17" s="1"/>
  <c r="Q37" i="17"/>
  <c r="AH11" i="17" s="1"/>
  <c r="Q38" i="17"/>
  <c r="AH12" i="17" s="1"/>
  <c r="Q30" i="17"/>
  <c r="AH4" i="17" s="1"/>
  <c r="T44" i="17"/>
  <c r="X44" i="17" s="1"/>
  <c r="U44" i="17"/>
  <c r="Y44" i="17" s="1"/>
  <c r="S44" i="17"/>
  <c r="W44" i="17" s="1"/>
  <c r="X29" i="17"/>
  <c r="X17" i="17" s="1"/>
  <c r="V4" i="17" l="1"/>
  <c r="X16" i="17"/>
  <c r="C62" i="18"/>
  <c r="V9" i="17"/>
  <c r="V6" i="17"/>
  <c r="F4" i="18"/>
  <c r="F9" i="18" s="1"/>
  <c r="W18" i="17"/>
  <c r="W16" i="17"/>
  <c r="W39" i="17"/>
  <c r="W40" i="17"/>
  <c r="W41" i="17"/>
  <c r="W38" i="17"/>
  <c r="V44" i="17"/>
  <c r="W32" i="17"/>
  <c r="W33" i="17"/>
  <c r="W37" i="17"/>
  <c r="R46" i="17"/>
  <c r="R47" i="17"/>
  <c r="R48" i="17"/>
  <c r="R49" i="17"/>
  <c r="R50" i="17"/>
  <c r="R51" i="17"/>
  <c r="R52" i="17"/>
  <c r="R53" i="17"/>
  <c r="R45" i="17"/>
  <c r="V53" i="17" l="1"/>
  <c r="V45" i="17"/>
  <c r="V51" i="17"/>
  <c r="V48" i="17"/>
  <c r="V47" i="17"/>
  <c r="V49" i="17"/>
  <c r="V46" i="17"/>
  <c r="V52" i="17"/>
  <c r="V50" i="17"/>
  <c r="I29" i="5" l="1"/>
  <c r="I30" i="5"/>
  <c r="I31" i="5"/>
  <c r="I32" i="5"/>
  <c r="I33" i="5"/>
  <c r="I34" i="5"/>
  <c r="I35" i="5"/>
  <c r="I36" i="5"/>
  <c r="I37" i="5"/>
  <c r="I38" i="5"/>
  <c r="I39" i="5"/>
  <c r="I40" i="5"/>
  <c r="I41" i="5"/>
  <c r="I42" i="5"/>
  <c r="I43" i="5"/>
  <c r="I44" i="5"/>
  <c r="I45" i="5"/>
  <c r="I46" i="5"/>
  <c r="I47" i="5"/>
  <c r="I48" i="5"/>
  <c r="I49" i="5"/>
  <c r="I50" i="5"/>
  <c r="I51" i="5"/>
  <c r="I52" i="5"/>
  <c r="I4" i="5"/>
  <c r="I5" i="5"/>
  <c r="I6" i="5"/>
  <c r="I7" i="5"/>
  <c r="I8" i="5"/>
  <c r="I9" i="5"/>
  <c r="I10" i="5"/>
  <c r="I11" i="5"/>
  <c r="I12" i="5"/>
  <c r="I13" i="5"/>
  <c r="I14" i="5"/>
  <c r="I15" i="5"/>
  <c r="I16" i="5"/>
  <c r="I17" i="5"/>
  <c r="I18" i="5"/>
  <c r="I19" i="5"/>
  <c r="I20" i="5"/>
  <c r="I21" i="5"/>
  <c r="I22" i="5"/>
  <c r="I23" i="5"/>
  <c r="I24" i="5"/>
  <c r="I25" i="5"/>
  <c r="I26" i="5"/>
  <c r="I27" i="5"/>
  <c r="I28" i="5"/>
  <c r="I3" i="5"/>
  <c r="J24" i="17"/>
  <c r="M30" i="17"/>
  <c r="N30" i="17"/>
  <c r="O30" i="17"/>
  <c r="P30" i="17"/>
  <c r="M31" i="17"/>
  <c r="N31" i="17"/>
  <c r="O31" i="17"/>
  <c r="P31" i="17"/>
  <c r="M32" i="17"/>
  <c r="N32" i="17"/>
  <c r="O32" i="17"/>
  <c r="P32" i="17"/>
  <c r="M33" i="17"/>
  <c r="N33" i="17"/>
  <c r="O33" i="17"/>
  <c r="P33" i="17"/>
  <c r="M34" i="17"/>
  <c r="N34" i="17"/>
  <c r="O34" i="17"/>
  <c r="P34" i="17"/>
  <c r="M35" i="17"/>
  <c r="N35" i="17"/>
  <c r="O35" i="17"/>
  <c r="P35" i="17"/>
  <c r="M36" i="17"/>
  <c r="N36" i="17"/>
  <c r="O36" i="17"/>
  <c r="P36" i="17"/>
  <c r="M37" i="17"/>
  <c r="N37" i="17"/>
  <c r="O37" i="17"/>
  <c r="P37" i="17"/>
  <c r="M38" i="17"/>
  <c r="N38" i="17"/>
  <c r="O38" i="17"/>
  <c r="P38" i="17"/>
  <c r="K31" i="17"/>
  <c r="K32" i="17"/>
  <c r="K33" i="17"/>
  <c r="K34" i="17"/>
  <c r="K35" i="17"/>
  <c r="K36" i="17"/>
  <c r="K37" i="17"/>
  <c r="K38" i="17"/>
  <c r="K30" i="17"/>
  <c r="D232" i="12"/>
  <c r="D157" i="12"/>
  <c r="D158" i="12"/>
  <c r="D159" i="12"/>
  <c r="D160" i="12"/>
  <c r="D161" i="12"/>
  <c r="D6" i="12"/>
  <c r="E5" i="12"/>
  <c r="D5" i="12"/>
  <c r="A76" i="12"/>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A107" i="12" s="1"/>
  <c r="A108" i="12" s="1"/>
  <c r="A109" i="12" s="1"/>
  <c r="A110" i="12" s="1"/>
  <c r="A111" i="12" s="1"/>
  <c r="A112" i="12" s="1"/>
  <c r="A113" i="12" s="1"/>
  <c r="A114" i="12" s="1"/>
  <c r="A115" i="12" s="1"/>
  <c r="A116" i="12" s="1"/>
  <c r="A117" i="12" s="1"/>
  <c r="A118" i="12" s="1"/>
  <c r="A119" i="12" s="1"/>
  <c r="A120" i="12" s="1"/>
  <c r="A121" i="12" s="1"/>
  <c r="A122" i="12" s="1"/>
  <c r="A123" i="12" s="1"/>
  <c r="A124" i="12" s="1"/>
  <c r="A125" i="12" s="1"/>
  <c r="A126" i="12" s="1"/>
  <c r="D128" i="12"/>
  <c r="D14" i="12"/>
  <c r="D178" i="12"/>
  <c r="B233" i="12"/>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D282" i="12" s="1"/>
  <c r="A232" i="12"/>
  <c r="A233" i="12" s="1"/>
  <c r="A234" i="12" s="1"/>
  <c r="A235" i="12" s="1"/>
  <c r="A236" i="12" s="1"/>
  <c r="A237" i="12" s="1"/>
  <c r="A238" i="12" s="1"/>
  <c r="A239" i="12" s="1"/>
  <c r="A240" i="12" s="1"/>
  <c r="A241" i="12" s="1"/>
  <c r="A242" i="12" s="1"/>
  <c r="A243" i="12" s="1"/>
  <c r="A244" i="12" s="1"/>
  <c r="A245" i="12" s="1"/>
  <c r="A246" i="12" s="1"/>
  <c r="A247" i="12" s="1"/>
  <c r="A248" i="12" s="1"/>
  <c r="A249" i="12" s="1"/>
  <c r="A250" i="12" s="1"/>
  <c r="A251" i="12" s="1"/>
  <c r="A252" i="12" s="1"/>
  <c r="A253" i="12" s="1"/>
  <c r="A254" i="12" s="1"/>
  <c r="A255" i="12" s="1"/>
  <c r="A256" i="12" s="1"/>
  <c r="A257" i="12" s="1"/>
  <c r="A258" i="12" s="1"/>
  <c r="A259" i="12" s="1"/>
  <c r="A260" i="12" s="1"/>
  <c r="A261" i="12" s="1"/>
  <c r="A262" i="12" s="1"/>
  <c r="A263" i="12" s="1"/>
  <c r="A264" i="12" s="1"/>
  <c r="A265" i="12" s="1"/>
  <c r="A266" i="12" s="1"/>
  <c r="A267" i="12" s="1"/>
  <c r="A268" i="12" s="1"/>
  <c r="A269" i="12" s="1"/>
  <c r="A270" i="12" s="1"/>
  <c r="A271" i="12" s="1"/>
  <c r="A272" i="12" s="1"/>
  <c r="A273" i="12" s="1"/>
  <c r="A274" i="12" s="1"/>
  <c r="A275" i="12" s="1"/>
  <c r="A276" i="12" s="1"/>
  <c r="A277" i="12" s="1"/>
  <c r="A278" i="12" s="1"/>
  <c r="A279" i="12" s="1"/>
  <c r="A280" i="12" s="1"/>
  <c r="A281" i="12" s="1"/>
  <c r="A282" i="12" s="1"/>
  <c r="L30" i="17"/>
  <c r="J17" i="17"/>
  <c r="J18" i="17"/>
  <c r="J19" i="17"/>
  <c r="J20" i="17"/>
  <c r="J21" i="17"/>
  <c r="J22" i="17"/>
  <c r="J23" i="17"/>
  <c r="J16" i="17"/>
  <c r="K15" i="17"/>
  <c r="M15" i="17"/>
  <c r="L15" i="17"/>
  <c r="O3" i="17"/>
  <c r="N3" i="17"/>
  <c r="F5" i="17"/>
  <c r="F6" i="17"/>
  <c r="L32" i="17" s="1"/>
  <c r="F7" i="17"/>
  <c r="L33" i="17" s="1"/>
  <c r="F8" i="17"/>
  <c r="L34" i="17" s="1"/>
  <c r="F9" i="17"/>
  <c r="L35" i="17" s="1"/>
  <c r="F10" i="17"/>
  <c r="L36" i="17" s="1"/>
  <c r="F11" i="17"/>
  <c r="L37" i="17" s="1"/>
  <c r="F12" i="17"/>
  <c r="L38" i="17" s="1"/>
  <c r="R3" i="17"/>
  <c r="P3" i="17"/>
  <c r="Q3" i="17"/>
  <c r="M3" i="17"/>
  <c r="B31" i="5" l="1"/>
  <c r="B52" i="5"/>
  <c r="B32" i="5"/>
  <c r="B39" i="5"/>
  <c r="B6" i="5"/>
  <c r="B46" i="5"/>
  <c r="B59" i="5"/>
  <c r="B60" i="5"/>
  <c r="B16" i="5"/>
  <c r="B28" i="5"/>
  <c r="B23" i="5"/>
  <c r="B24" i="5"/>
  <c r="B54" i="5"/>
  <c r="B62" i="5"/>
  <c r="B22" i="5"/>
  <c r="B7" i="5"/>
  <c r="B20" i="5"/>
  <c r="B61" i="5"/>
  <c r="B10" i="5"/>
  <c r="B38" i="5"/>
  <c r="B37" i="5"/>
  <c r="B29" i="5"/>
  <c r="B55" i="5"/>
  <c r="B3" i="5"/>
  <c r="B27" i="5"/>
  <c r="B36" i="5"/>
  <c r="B30" i="5"/>
  <c r="B42" i="5"/>
  <c r="B40" i="5"/>
  <c r="B57" i="5"/>
  <c r="B4" i="5"/>
  <c r="B58" i="5"/>
  <c r="B8" i="5"/>
  <c r="B41" i="5"/>
  <c r="B56" i="5"/>
  <c r="B26" i="5"/>
  <c r="B45" i="5"/>
  <c r="B21" i="5"/>
  <c r="B5" i="5"/>
  <c r="B53" i="5"/>
  <c r="B35" i="5"/>
  <c r="B49" i="5"/>
  <c r="B43" i="5"/>
  <c r="B25" i="5"/>
  <c r="B33" i="5"/>
  <c r="B11" i="5"/>
  <c r="B50" i="5"/>
  <c r="B34" i="5"/>
  <c r="B48" i="5"/>
  <c r="B17" i="5"/>
  <c r="B47" i="5"/>
  <c r="B18" i="5"/>
  <c r="B9" i="5"/>
  <c r="B14" i="5"/>
  <c r="B44" i="5"/>
  <c r="B15" i="5"/>
  <c r="B51" i="5"/>
  <c r="B12" i="5"/>
  <c r="B19" i="5"/>
  <c r="B13" i="5"/>
  <c r="H61" i="17"/>
  <c r="U51" i="17"/>
  <c r="Y45" i="17"/>
  <c r="T50" i="17"/>
  <c r="W49" i="17"/>
  <c r="W50" i="17"/>
  <c r="S53" i="17"/>
  <c r="U46" i="17"/>
  <c r="U47" i="17"/>
  <c r="U52" i="17"/>
  <c r="S45" i="17"/>
  <c r="T47" i="17"/>
  <c r="T48" i="17"/>
  <c r="W46" i="17"/>
  <c r="Y47" i="17"/>
  <c r="T53" i="17"/>
  <c r="Y49" i="17"/>
  <c r="S47" i="17"/>
  <c r="Y50" i="17"/>
  <c r="W51" i="17"/>
  <c r="S48" i="17"/>
  <c r="Y7" i="17" s="1"/>
  <c r="W52" i="17"/>
  <c r="S50" i="17"/>
  <c r="W53" i="17"/>
  <c r="S51" i="17"/>
  <c r="W48" i="17"/>
  <c r="Y53" i="17"/>
  <c r="W45" i="17"/>
  <c r="X45" i="17"/>
  <c r="S46" i="17"/>
  <c r="Y5" i="17" s="1"/>
  <c r="U48" i="17"/>
  <c r="X51" i="17"/>
  <c r="U53" i="17"/>
  <c r="X52" i="17"/>
  <c r="X53" i="17"/>
  <c r="Y46" i="17"/>
  <c r="T49" i="17"/>
  <c r="W47" i="17"/>
  <c r="Y48" i="17"/>
  <c r="Y51" i="17"/>
  <c r="Y52" i="17"/>
  <c r="S52" i="17"/>
  <c r="X46" i="17"/>
  <c r="U45" i="17"/>
  <c r="X50" i="17"/>
  <c r="T46" i="17"/>
  <c r="Y8" i="17"/>
  <c r="T45" i="17"/>
  <c r="U50" i="17"/>
  <c r="T51" i="17"/>
  <c r="U49" i="17"/>
  <c r="T52" i="17"/>
  <c r="A64" i="17"/>
  <c r="A61" i="17"/>
  <c r="S38" i="17"/>
  <c r="V10" i="17"/>
  <c r="R35" i="17"/>
  <c r="AI9" i="17" s="1"/>
  <c r="V7" i="17"/>
  <c r="R31" i="17"/>
  <c r="AI5" i="17" s="1"/>
  <c r="V11" i="17"/>
  <c r="R37" i="17"/>
  <c r="AI11" i="17" s="1"/>
  <c r="V8" i="17"/>
  <c r="R32" i="17"/>
  <c r="V12" i="17"/>
  <c r="S37" i="17"/>
  <c r="R33" i="17"/>
  <c r="R34" i="17"/>
  <c r="AI8" i="17" s="1"/>
  <c r="R36" i="17"/>
  <c r="S30" i="17"/>
  <c r="AJ4" i="17" s="1"/>
  <c r="R38" i="17"/>
  <c r="AI12" i="17" s="1"/>
  <c r="S32" i="17"/>
  <c r="S33" i="17"/>
  <c r="S31" i="17"/>
  <c r="AJ5" i="17" s="1"/>
  <c r="R30" i="17"/>
  <c r="S34" i="17"/>
  <c r="S35" i="17"/>
  <c r="S36" i="17"/>
  <c r="V5" i="17"/>
  <c r="L31" i="17"/>
  <c r="F63" i="17"/>
  <c r="B63" i="17"/>
  <c r="E63" i="17"/>
  <c r="E64" i="17"/>
  <c r="A63" i="17"/>
  <c r="E61" i="17"/>
  <c r="F62" i="17"/>
  <c r="F61" i="17"/>
  <c r="G62" i="17"/>
  <c r="C61" i="17"/>
  <c r="A62" i="17"/>
  <c r="B61" i="17"/>
  <c r="F64" i="17"/>
  <c r="C62" i="17"/>
  <c r="H63" i="17"/>
  <c r="D64" i="17"/>
  <c r="G64" i="17"/>
  <c r="H64" i="17"/>
  <c r="G61" i="17"/>
  <c r="D61" i="17"/>
  <c r="D63" i="17"/>
  <c r="C63" i="17"/>
  <c r="C64" i="17"/>
  <c r="B62" i="17"/>
  <c r="B64" i="17"/>
  <c r="D62" i="17"/>
  <c r="E62" i="17"/>
  <c r="H62" i="17"/>
  <c r="G63" i="17"/>
  <c r="AB5" i="17"/>
  <c r="D242" i="12"/>
  <c r="D238" i="12"/>
  <c r="D239" i="12"/>
  <c r="D266" i="12"/>
  <c r="AC4" i="17"/>
  <c r="D247" i="12"/>
  <c r="D245" i="12"/>
  <c r="D244" i="12"/>
  <c r="D243" i="12"/>
  <c r="D240" i="12"/>
  <c r="D255" i="12"/>
  <c r="D237" i="12"/>
  <c r="D273" i="12"/>
  <c r="D254" i="12"/>
  <c r="D236" i="12"/>
  <c r="D265" i="12"/>
  <c r="D272" i="12"/>
  <c r="D253" i="12"/>
  <c r="D235" i="12"/>
  <c r="D281" i="12"/>
  <c r="D277" i="12"/>
  <c r="D274" i="12"/>
  <c r="D271" i="12"/>
  <c r="D250" i="12"/>
  <c r="D234" i="12"/>
  <c r="AE4" i="17"/>
  <c r="D258" i="12"/>
  <c r="D256" i="12"/>
  <c r="D270" i="12"/>
  <c r="D249" i="12"/>
  <c r="D233" i="12"/>
  <c r="AF4" i="17"/>
  <c r="D261" i="12"/>
  <c r="D276" i="12"/>
  <c r="D275" i="12"/>
  <c r="AE5" i="17"/>
  <c r="D269" i="12"/>
  <c r="D248" i="12"/>
  <c r="D268" i="12"/>
  <c r="AG5" i="17"/>
  <c r="D267" i="12"/>
  <c r="D246" i="12"/>
  <c r="D280" i="12"/>
  <c r="D264" i="12"/>
  <c r="D279" i="12"/>
  <c r="D263" i="12"/>
  <c r="D278" i="12"/>
  <c r="D262" i="12"/>
  <c r="D241" i="12"/>
  <c r="AB12" i="17"/>
  <c r="AD7" i="17"/>
  <c r="AB11" i="17"/>
  <c r="AB10" i="17"/>
  <c r="AD9" i="17"/>
  <c r="AC6" i="17"/>
  <c r="AG7" i="17"/>
  <c r="AC5" i="17"/>
  <c r="AE12" i="17"/>
  <c r="AF5" i="17"/>
  <c r="AD6" i="17"/>
  <c r="AE11" i="17"/>
  <c r="AD5" i="17"/>
  <c r="AG12" i="17"/>
  <c r="AC11" i="17"/>
  <c r="AE9" i="17"/>
  <c r="AG11" i="17"/>
  <c r="AC10" i="17"/>
  <c r="AE8" i="17"/>
  <c r="AE7" i="17"/>
  <c r="AG9" i="17"/>
  <c r="AC8" i="17"/>
  <c r="AF12" i="17"/>
  <c r="AF11" i="17"/>
  <c r="AG4" i="17"/>
  <c r="AC12" i="17"/>
  <c r="AE10" i="17"/>
  <c r="AD4" i="17"/>
  <c r="AG10" i="17"/>
  <c r="AC9" i="17"/>
  <c r="AE6" i="17"/>
  <c r="AG8" i="17"/>
  <c r="AC7" i="17"/>
  <c r="AD12" i="17"/>
  <c r="AF10" i="17"/>
  <c r="AD11" i="17"/>
  <c r="AG6" i="17"/>
  <c r="AF9" i="17"/>
  <c r="AB9" i="17"/>
  <c r="AD10" i="17"/>
  <c r="AF8" i="17"/>
  <c r="AB8" i="17"/>
  <c r="AF7" i="17"/>
  <c r="AB7" i="17"/>
  <c r="AD8" i="17"/>
  <c r="AF6" i="17"/>
  <c r="AB6" i="17"/>
  <c r="AA12" i="17" l="1"/>
  <c r="AI6" i="17"/>
  <c r="Z6" i="17"/>
  <c r="AI7" i="17"/>
  <c r="Z7" i="17"/>
  <c r="Z4" i="17"/>
  <c r="Y12" i="17"/>
  <c r="Y6" i="17"/>
  <c r="AI10" i="17"/>
  <c r="Z10" i="17"/>
  <c r="Y4" i="17"/>
  <c r="Y10" i="17"/>
  <c r="AA4" i="17"/>
  <c r="Y11" i="17"/>
  <c r="X4" i="17"/>
  <c r="I59" i="17"/>
  <c r="Z8" i="17"/>
  <c r="I56" i="17"/>
  <c r="I61" i="17" s="1"/>
  <c r="Q4" i="17" s="1"/>
  <c r="Z11" i="17"/>
  <c r="W9" i="17"/>
  <c r="Y9" i="17"/>
  <c r="Z12" i="17"/>
  <c r="W11" i="17"/>
  <c r="AA6" i="17"/>
  <c r="AA9" i="17"/>
  <c r="X10" i="17"/>
  <c r="AJ10" i="17"/>
  <c r="AA10" i="17"/>
  <c r="X9" i="17"/>
  <c r="AJ9" i="17"/>
  <c r="I58" i="17"/>
  <c r="W4" i="17"/>
  <c r="AI4" i="17"/>
  <c r="AA7" i="17"/>
  <c r="W12" i="17"/>
  <c r="X11" i="17"/>
  <c r="AJ11" i="17"/>
  <c r="X8" i="17"/>
  <c r="AJ8" i="17"/>
  <c r="X5" i="17"/>
  <c r="X7" i="17"/>
  <c r="AJ7" i="17"/>
  <c r="W8" i="17"/>
  <c r="X6" i="17"/>
  <c r="AJ6" i="17"/>
  <c r="AA8" i="17"/>
  <c r="W10" i="17"/>
  <c r="AA5" i="17"/>
  <c r="W6" i="17"/>
  <c r="AA11" i="17"/>
  <c r="I57" i="17"/>
  <c r="W7" i="17"/>
  <c r="X12" i="17"/>
  <c r="AJ12" i="17"/>
  <c r="Z5" i="17"/>
  <c r="W5" i="17"/>
  <c r="Z9" i="17"/>
  <c r="R4" i="17" l="1"/>
  <c r="O4" i="17"/>
  <c r="I64" i="17"/>
  <c r="I63" i="17"/>
  <c r="I62" i="17"/>
  <c r="E32" i="1"/>
  <c r="D10" i="1"/>
  <c r="M4" i="17" l="1"/>
  <c r="P10" i="17"/>
  <c r="Q10" i="17"/>
  <c r="R10" i="17"/>
  <c r="N9" i="17"/>
  <c r="O9" i="17"/>
  <c r="Q9" i="17"/>
  <c r="O10" i="17"/>
  <c r="N10" i="17"/>
  <c r="P9" i="17"/>
  <c r="R9" i="17"/>
  <c r="Q12" i="17"/>
  <c r="N11" i="17"/>
  <c r="O11" i="17"/>
  <c r="P11" i="17"/>
  <c r="Q11" i="17"/>
  <c r="R11" i="17"/>
  <c r="N12" i="17"/>
  <c r="O12" i="17"/>
  <c r="P12" i="17"/>
  <c r="R12" i="17"/>
  <c r="O7" i="17"/>
  <c r="P7" i="17"/>
  <c r="Q7" i="17"/>
  <c r="P8" i="17"/>
  <c r="Q8" i="17"/>
  <c r="R8" i="17"/>
  <c r="R7" i="17"/>
  <c r="N8" i="17"/>
  <c r="O8" i="17"/>
  <c r="N7" i="17"/>
  <c r="N4" i="17"/>
  <c r="P4" i="17"/>
  <c r="N5" i="17"/>
  <c r="R6" i="17"/>
  <c r="O6" i="17"/>
  <c r="P6" i="17"/>
  <c r="Q6" i="17"/>
  <c r="O5" i="17"/>
  <c r="P5" i="17"/>
  <c r="Q5" i="17"/>
  <c r="R5" i="17"/>
  <c r="N6" i="17"/>
  <c r="M7" i="17"/>
  <c r="M8" i="17"/>
  <c r="M9" i="17"/>
  <c r="M10" i="17"/>
  <c r="M5" i="17"/>
  <c r="M6" i="17"/>
  <c r="M11" i="17"/>
  <c r="M12" i="17"/>
  <c r="D25" i="1"/>
  <c r="Q23" i="1"/>
  <c r="O21" i="1"/>
  <c r="I17" i="1"/>
  <c r="I16" i="1"/>
  <c r="H17" i="1"/>
  <c r="H16" i="1"/>
  <c r="G17" i="1"/>
  <c r="G16" i="1"/>
  <c r="S5" i="17" l="1"/>
  <c r="U5" i="17" s="1"/>
  <c r="M17" i="17" s="1"/>
  <c r="S4" i="17"/>
  <c r="S12" i="17"/>
  <c r="L24" i="17" s="1"/>
  <c r="S6" i="17"/>
  <c r="S10" i="17"/>
  <c r="S9" i="17"/>
  <c r="S7" i="17"/>
  <c r="T7" i="17" s="1"/>
  <c r="S8" i="17"/>
  <c r="S11" i="17"/>
  <c r="K32" i="1"/>
  <c r="A180" i="12"/>
  <c r="A128" i="12"/>
  <c r="B17" i="12"/>
  <c r="T6" i="17" l="1"/>
  <c r="K18" i="17" s="1"/>
  <c r="T4" i="17"/>
  <c r="L16" i="17"/>
  <c r="L18" i="17"/>
  <c r="U12" i="17"/>
  <c r="M24" i="17" s="1"/>
  <c r="T12" i="17"/>
  <c r="K24" i="17" s="1"/>
  <c r="L17" i="17"/>
  <c r="T5" i="17"/>
  <c r="K17" i="17" s="1"/>
  <c r="U6" i="17"/>
  <c r="M18" i="17" s="1"/>
  <c r="L23" i="17"/>
  <c r="T11" i="17"/>
  <c r="K23" i="17" s="1"/>
  <c r="U11" i="17"/>
  <c r="M23" i="17" s="1"/>
  <c r="U4" i="17"/>
  <c r="M16" i="17" s="1"/>
  <c r="L20" i="17"/>
  <c r="U8" i="17"/>
  <c r="M20" i="17" s="1"/>
  <c r="T8" i="17"/>
  <c r="K20" i="17" s="1"/>
  <c r="L19" i="17"/>
  <c r="U7" i="17"/>
  <c r="M19" i="17" s="1"/>
  <c r="K19" i="17"/>
  <c r="L21" i="17"/>
  <c r="U9" i="17"/>
  <c r="M21" i="17" s="1"/>
  <c r="T9" i="17"/>
  <c r="K21" i="17" s="1"/>
  <c r="L22" i="17"/>
  <c r="U10" i="17"/>
  <c r="M22" i="17" s="1"/>
  <c r="T10" i="17"/>
  <c r="K22" i="17" s="1"/>
  <c r="D252" i="12"/>
  <c r="D251" i="12"/>
  <c r="H3" i="12"/>
  <c r="G3" i="12"/>
  <c r="F3" i="12"/>
  <c r="W5" i="5"/>
  <c r="W6" i="5"/>
  <c r="W7" i="5"/>
  <c r="W8" i="5"/>
  <c r="W9" i="5"/>
  <c r="W10" i="5"/>
  <c r="W11" i="5"/>
  <c r="W12" i="5"/>
  <c r="W13" i="5"/>
  <c r="W14" i="5"/>
  <c r="W15" i="5"/>
  <c r="W16" i="5"/>
  <c r="W17" i="5"/>
  <c r="W18" i="5"/>
  <c r="W19" i="5"/>
  <c r="W20"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A24" i="12"/>
  <c r="D24" i="12" s="1"/>
  <c r="S19" i="1"/>
  <c r="P82" i="1" s="1"/>
  <c r="S18" i="1"/>
  <c r="P133" i="1" s="1"/>
  <c r="E6" i="1"/>
  <c r="E3" i="12" s="1"/>
  <c r="F5" i="12"/>
  <c r="G5" i="12"/>
  <c r="H5" i="12"/>
  <c r="C5" i="12"/>
  <c r="E7" i="12"/>
  <c r="E128" i="12" s="1"/>
  <c r="E82" i="1"/>
  <c r="G53" i="5"/>
  <c r="C53" i="5" s="1"/>
  <c r="G82" i="1" s="1"/>
  <c r="E83" i="1"/>
  <c r="G54" i="5"/>
  <c r="C54" i="5" s="1"/>
  <c r="G83" i="1" s="1"/>
  <c r="E84" i="1"/>
  <c r="G55" i="5"/>
  <c r="C55" i="5" s="1"/>
  <c r="G84" i="1" s="1"/>
  <c r="E85" i="1"/>
  <c r="G56" i="5"/>
  <c r="C56" i="5" s="1"/>
  <c r="G85" i="1" s="1"/>
  <c r="E86" i="1"/>
  <c r="G57" i="5"/>
  <c r="C57" i="5" s="1"/>
  <c r="G86" i="1" s="1"/>
  <c r="E87" i="1"/>
  <c r="G58" i="5"/>
  <c r="C58" i="5" s="1"/>
  <c r="G87" i="1" s="1"/>
  <c r="E88" i="1"/>
  <c r="G59" i="5"/>
  <c r="C59" i="5" s="1"/>
  <c r="G88" i="1" s="1"/>
  <c r="E89" i="1"/>
  <c r="G60" i="5"/>
  <c r="C60" i="5" s="1"/>
  <c r="G89" i="1" s="1"/>
  <c r="E90" i="1"/>
  <c r="G61" i="5"/>
  <c r="C61" i="5" s="1"/>
  <c r="G90" i="1" s="1"/>
  <c r="G62" i="5"/>
  <c r="C62" i="5" s="1"/>
  <c r="G91" i="1" s="1"/>
  <c r="G63" i="5"/>
  <c r="C63" i="5" s="1"/>
  <c r="G92" i="1" s="1"/>
  <c r="G64" i="5"/>
  <c r="C64" i="5" s="1"/>
  <c r="G93" i="1" s="1"/>
  <c r="G65" i="5"/>
  <c r="C65" i="5" s="1"/>
  <c r="G94" i="1" s="1"/>
  <c r="G66" i="5"/>
  <c r="C66" i="5" s="1"/>
  <c r="G95" i="1" s="1"/>
  <c r="G67" i="5"/>
  <c r="C67" i="5" s="1"/>
  <c r="G96" i="1" s="1"/>
  <c r="G68" i="5"/>
  <c r="C68" i="5" s="1"/>
  <c r="G97" i="1" s="1"/>
  <c r="G69" i="5"/>
  <c r="C69" i="5" s="1"/>
  <c r="G98" i="1" s="1"/>
  <c r="G70" i="5"/>
  <c r="C70" i="5" s="1"/>
  <c r="G99" i="1" s="1"/>
  <c r="G71" i="5"/>
  <c r="C71" i="5" s="1"/>
  <c r="G100" i="1" s="1"/>
  <c r="G72" i="5"/>
  <c r="C72" i="5" s="1"/>
  <c r="G101" i="1" s="1"/>
  <c r="G73" i="5"/>
  <c r="C73" i="5" s="1"/>
  <c r="G102" i="1" s="1"/>
  <c r="G74" i="5"/>
  <c r="C74" i="5" s="1"/>
  <c r="G103" i="1" s="1"/>
  <c r="G75" i="5"/>
  <c r="C75" i="5" s="1"/>
  <c r="G104" i="1" s="1"/>
  <c r="G76" i="5"/>
  <c r="C76" i="5" s="1"/>
  <c r="G105" i="1" s="1"/>
  <c r="G77" i="5"/>
  <c r="C77" i="5" s="1"/>
  <c r="G106" i="1" s="1"/>
  <c r="G78" i="5"/>
  <c r="C78" i="5" s="1"/>
  <c r="G107" i="1" s="1"/>
  <c r="G79" i="5"/>
  <c r="C79" i="5" s="1"/>
  <c r="G108" i="1" s="1"/>
  <c r="G80" i="5"/>
  <c r="C80" i="5" s="1"/>
  <c r="G109" i="1" s="1"/>
  <c r="G81" i="5"/>
  <c r="C81" i="5" s="1"/>
  <c r="G110" i="1" s="1"/>
  <c r="G82" i="5"/>
  <c r="C82" i="5" s="1"/>
  <c r="G111" i="1" s="1"/>
  <c r="G83" i="5"/>
  <c r="C83" i="5" s="1"/>
  <c r="G112" i="1" s="1"/>
  <c r="G84" i="5"/>
  <c r="C84" i="5" s="1"/>
  <c r="G113" i="1" s="1"/>
  <c r="G85" i="5"/>
  <c r="C85" i="5" s="1"/>
  <c r="G114" i="1" s="1"/>
  <c r="G86" i="5"/>
  <c r="C86" i="5" s="1"/>
  <c r="G115" i="1" s="1"/>
  <c r="G87" i="5"/>
  <c r="C87" i="5" s="1"/>
  <c r="G116" i="1" s="1"/>
  <c r="G88" i="5"/>
  <c r="C88" i="5" s="1"/>
  <c r="G117" i="1" s="1"/>
  <c r="G89" i="5"/>
  <c r="C89" i="5" s="1"/>
  <c r="G118" i="1" s="1"/>
  <c r="G90" i="5"/>
  <c r="C90" i="5" s="1"/>
  <c r="G119" i="1" s="1"/>
  <c r="G91" i="5"/>
  <c r="C91" i="5" s="1"/>
  <c r="G120" i="1" s="1"/>
  <c r="G92" i="5"/>
  <c r="C92" i="5" s="1"/>
  <c r="G121" i="1" s="1"/>
  <c r="G93" i="5"/>
  <c r="C93" i="5" s="1"/>
  <c r="G122" i="1" s="1"/>
  <c r="G94" i="5"/>
  <c r="C94" i="5" s="1"/>
  <c r="G123" i="1" s="1"/>
  <c r="G95" i="5"/>
  <c r="C95" i="5" s="1"/>
  <c r="G124" i="1" s="1"/>
  <c r="G96" i="5"/>
  <c r="C96" i="5" s="1"/>
  <c r="G125" i="1" s="1"/>
  <c r="G97" i="5"/>
  <c r="C97" i="5" s="1"/>
  <c r="G126" i="1" s="1"/>
  <c r="G98" i="5"/>
  <c r="C98" i="5" s="1"/>
  <c r="G127" i="1" s="1"/>
  <c r="G99" i="5"/>
  <c r="C99" i="5" s="1"/>
  <c r="G128" i="1" s="1"/>
  <c r="G100" i="5"/>
  <c r="C100" i="5" s="1"/>
  <c r="G129" i="1" s="1"/>
  <c r="G101" i="5"/>
  <c r="C101" i="5" s="1"/>
  <c r="G130" i="1" s="1"/>
  <c r="G102" i="5"/>
  <c r="C102" i="5" s="1"/>
  <c r="G131" i="1" s="1"/>
  <c r="G103" i="5"/>
  <c r="C103" i="5" s="1"/>
  <c r="G132" i="1" s="1"/>
  <c r="G104" i="5"/>
  <c r="C104" i="5" s="1"/>
  <c r="G133" i="1" s="1"/>
  <c r="G105" i="5"/>
  <c r="C105" i="5" s="1"/>
  <c r="G134" i="1" s="1"/>
  <c r="G106" i="5"/>
  <c r="C106" i="5" s="1"/>
  <c r="G135" i="1" s="1"/>
  <c r="G107" i="5"/>
  <c r="C107" i="5" s="1"/>
  <c r="G136" i="1" s="1"/>
  <c r="G108" i="5"/>
  <c r="C108" i="5" s="1"/>
  <c r="G137" i="1" s="1"/>
  <c r="G109" i="5"/>
  <c r="C109" i="5" s="1"/>
  <c r="G138" i="1" s="1"/>
  <c r="G110" i="5"/>
  <c r="C110" i="5" s="1"/>
  <c r="G139" i="1" s="1"/>
  <c r="G111" i="5"/>
  <c r="C111" i="5" s="1"/>
  <c r="G140" i="1" s="1"/>
  <c r="G112" i="5"/>
  <c r="C112" i="5" s="1"/>
  <c r="G141" i="1" s="1"/>
  <c r="G113" i="5"/>
  <c r="C113" i="5" s="1"/>
  <c r="G142" i="1" s="1"/>
  <c r="G114" i="5"/>
  <c r="C114" i="5" s="1"/>
  <c r="G143" i="1" s="1"/>
  <c r="G115" i="5"/>
  <c r="C115" i="5" s="1"/>
  <c r="G144" i="1" s="1"/>
  <c r="G116" i="5"/>
  <c r="C116" i="5" s="1"/>
  <c r="G145" i="1" s="1"/>
  <c r="G117" i="5"/>
  <c r="C117" i="5" s="1"/>
  <c r="G146" i="1" s="1"/>
  <c r="G118" i="5"/>
  <c r="C118" i="5" s="1"/>
  <c r="G147" i="1" s="1"/>
  <c r="G119" i="5"/>
  <c r="C119" i="5" s="1"/>
  <c r="G148" i="1" s="1"/>
  <c r="G120" i="5"/>
  <c r="C120" i="5" s="1"/>
  <c r="G149" i="1" s="1"/>
  <c r="G121" i="5"/>
  <c r="C121" i="5" s="1"/>
  <c r="G150" i="1" s="1"/>
  <c r="G122" i="5"/>
  <c r="C122" i="5" s="1"/>
  <c r="G151" i="1" s="1"/>
  <c r="G123" i="5"/>
  <c r="C123" i="5" s="1"/>
  <c r="G152" i="1" s="1"/>
  <c r="G124" i="5"/>
  <c r="C124" i="5" s="1"/>
  <c r="G153" i="1" s="1"/>
  <c r="G125" i="5"/>
  <c r="C125" i="5" s="1"/>
  <c r="G154" i="1" s="1"/>
  <c r="G126" i="5"/>
  <c r="C126" i="5" s="1"/>
  <c r="G155" i="1" s="1"/>
  <c r="G127" i="5"/>
  <c r="C127" i="5" s="1"/>
  <c r="G156" i="1" s="1"/>
  <c r="G128" i="5"/>
  <c r="C128" i="5" s="1"/>
  <c r="G157" i="1" s="1"/>
  <c r="G129" i="5"/>
  <c r="C129" i="5" s="1"/>
  <c r="G158" i="1" s="1"/>
  <c r="G130" i="5"/>
  <c r="C130" i="5" s="1"/>
  <c r="G159" i="1" s="1"/>
  <c r="G131" i="5"/>
  <c r="C131" i="5" s="1"/>
  <c r="G160" i="1" s="1"/>
  <c r="G132" i="5"/>
  <c r="C132" i="5" s="1"/>
  <c r="G161" i="1" s="1"/>
  <c r="G133" i="5"/>
  <c r="C133" i="5" s="1"/>
  <c r="G162" i="1" s="1"/>
  <c r="G134" i="5"/>
  <c r="C134" i="5" s="1"/>
  <c r="G163" i="1" s="1"/>
  <c r="G135" i="5"/>
  <c r="C135" i="5" s="1"/>
  <c r="G164" i="1" s="1"/>
  <c r="G136" i="5"/>
  <c r="C136" i="5" s="1"/>
  <c r="G165" i="1" s="1"/>
  <c r="G137" i="5"/>
  <c r="C137" i="5" s="1"/>
  <c r="G166" i="1" s="1"/>
  <c r="G138" i="5"/>
  <c r="C138" i="5" s="1"/>
  <c r="G167" i="1" s="1"/>
  <c r="G139" i="5"/>
  <c r="C139" i="5" s="1"/>
  <c r="G168" i="1" s="1"/>
  <c r="G140" i="5"/>
  <c r="C140" i="5" s="1"/>
  <c r="G169" i="1" s="1"/>
  <c r="G141" i="5"/>
  <c r="C141" i="5" s="1"/>
  <c r="G170" i="1" s="1"/>
  <c r="G142" i="5"/>
  <c r="C142" i="5" s="1"/>
  <c r="G171" i="1" s="1"/>
  <c r="G143" i="5"/>
  <c r="C143" i="5" s="1"/>
  <c r="G172" i="1" s="1"/>
  <c r="G144" i="5"/>
  <c r="C144" i="5" s="1"/>
  <c r="G173" i="1" s="1"/>
  <c r="G145" i="5"/>
  <c r="C145" i="5" s="1"/>
  <c r="G174" i="1" s="1"/>
  <c r="G146" i="5"/>
  <c r="C146" i="5" s="1"/>
  <c r="G175" i="1" s="1"/>
  <c r="G147" i="5"/>
  <c r="C147" i="5" s="1"/>
  <c r="G176" i="1" s="1"/>
  <c r="G148" i="5"/>
  <c r="C148" i="5" s="1"/>
  <c r="G177" i="1" s="1"/>
  <c r="G149" i="5"/>
  <c r="C149" i="5" s="1"/>
  <c r="G178" i="1" s="1"/>
  <c r="G150" i="5"/>
  <c r="C150" i="5" s="1"/>
  <c r="G179" i="1" s="1"/>
  <c r="G151" i="5"/>
  <c r="C151" i="5" s="1"/>
  <c r="G180" i="1" s="1"/>
  <c r="G152" i="5"/>
  <c r="C152" i="5" s="1"/>
  <c r="G181" i="1" s="1"/>
  <c r="G153" i="5"/>
  <c r="C153" i="5" s="1"/>
  <c r="G154" i="5"/>
  <c r="C154" i="5" s="1"/>
  <c r="G155" i="5"/>
  <c r="C155" i="5" s="1"/>
  <c r="G156" i="5"/>
  <c r="C156" i="5" s="1"/>
  <c r="G157" i="5"/>
  <c r="C157" i="5" s="1"/>
  <c r="G158" i="5"/>
  <c r="C158" i="5" s="1"/>
  <c r="G159" i="5"/>
  <c r="C159" i="5" s="1"/>
  <c r="G160" i="5"/>
  <c r="C160" i="5" s="1"/>
  <c r="G161" i="5"/>
  <c r="C161" i="5" s="1"/>
  <c r="G162" i="5"/>
  <c r="C162" i="5" s="1"/>
  <c r="G163" i="5"/>
  <c r="C163" i="5" s="1"/>
  <c r="G164" i="5"/>
  <c r="C164" i="5" s="1"/>
  <c r="G165" i="5"/>
  <c r="C165" i="5" s="1"/>
  <c r="G166" i="5"/>
  <c r="C166" i="5" s="1"/>
  <c r="G167" i="5"/>
  <c r="C167" i="5" s="1"/>
  <c r="G168" i="5"/>
  <c r="C168" i="5" s="1"/>
  <c r="G169" i="5"/>
  <c r="C169" i="5" s="1"/>
  <c r="G170" i="5"/>
  <c r="C170" i="5" s="1"/>
  <c r="G171" i="5"/>
  <c r="C171" i="5" s="1"/>
  <c r="G172" i="5"/>
  <c r="C172" i="5" s="1"/>
  <c r="G173" i="5"/>
  <c r="C173" i="5" s="1"/>
  <c r="G174" i="5"/>
  <c r="C174" i="5" s="1"/>
  <c r="G175" i="5"/>
  <c r="C175" i="5" s="1"/>
  <c r="G176" i="5"/>
  <c r="C176" i="5" s="1"/>
  <c r="G177" i="5"/>
  <c r="C177" i="5" s="1"/>
  <c r="G178" i="5"/>
  <c r="C178" i="5" s="1"/>
  <c r="G179" i="5"/>
  <c r="C179" i="5" s="1"/>
  <c r="G180" i="5"/>
  <c r="C180" i="5" s="1"/>
  <c r="G181" i="5"/>
  <c r="C181" i="5" s="1"/>
  <c r="G182" i="5"/>
  <c r="C182" i="5" s="1"/>
  <c r="G183" i="5"/>
  <c r="C183" i="5" s="1"/>
  <c r="G184" i="5"/>
  <c r="C184" i="5" s="1"/>
  <c r="G185" i="5"/>
  <c r="C185" i="5" s="1"/>
  <c r="G186" i="5"/>
  <c r="C186" i="5" s="1"/>
  <c r="G187" i="5"/>
  <c r="C187" i="5" s="1"/>
  <c r="G188" i="5"/>
  <c r="C188" i="5" s="1"/>
  <c r="G189" i="5"/>
  <c r="C189" i="5" s="1"/>
  <c r="G190" i="5"/>
  <c r="C190" i="5" s="1"/>
  <c r="G191" i="5"/>
  <c r="C191" i="5" s="1"/>
  <c r="G192" i="5"/>
  <c r="C192" i="5" s="1"/>
  <c r="G193" i="5"/>
  <c r="C193" i="5" s="1"/>
  <c r="G194" i="5"/>
  <c r="C194" i="5" s="1"/>
  <c r="G195" i="5"/>
  <c r="C195" i="5" s="1"/>
  <c r="G196" i="5"/>
  <c r="C196" i="5" s="1"/>
  <c r="G197" i="5"/>
  <c r="C197" i="5" s="1"/>
  <c r="G198" i="5"/>
  <c r="C198" i="5" s="1"/>
  <c r="G199" i="5"/>
  <c r="C199" i="5" s="1"/>
  <c r="G200" i="5"/>
  <c r="C200" i="5" s="1"/>
  <c r="G201" i="5"/>
  <c r="C201" i="5" s="1"/>
  <c r="G202" i="5"/>
  <c r="C202" i="5" s="1"/>
  <c r="G203" i="5"/>
  <c r="C203" i="5" s="1"/>
  <c r="G204" i="5"/>
  <c r="C204" i="5" s="1"/>
  <c r="G205" i="5"/>
  <c r="C205" i="5" s="1"/>
  <c r="G206" i="5"/>
  <c r="C206" i="5" s="1"/>
  <c r="G207" i="5"/>
  <c r="C207" i="5" s="1"/>
  <c r="G208" i="5"/>
  <c r="C208" i="5" s="1"/>
  <c r="G209" i="5"/>
  <c r="C209" i="5" s="1"/>
  <c r="G210" i="5"/>
  <c r="C210" i="5" s="1"/>
  <c r="G211" i="5"/>
  <c r="C211" i="5" s="1"/>
  <c r="G212" i="5"/>
  <c r="C212" i="5" s="1"/>
  <c r="G213" i="5"/>
  <c r="C213" i="5" s="1"/>
  <c r="G214" i="5"/>
  <c r="C214" i="5" s="1"/>
  <c r="G215" i="5"/>
  <c r="C215" i="5" s="1"/>
  <c r="G216" i="5"/>
  <c r="C216" i="5" s="1"/>
  <c r="G217" i="5"/>
  <c r="C217" i="5" s="1"/>
  <c r="G218" i="5"/>
  <c r="C218" i="5" s="1"/>
  <c r="G219" i="5"/>
  <c r="C219" i="5" s="1"/>
  <c r="G220" i="5"/>
  <c r="C220" i="5" s="1"/>
  <c r="G221" i="5"/>
  <c r="C221" i="5" s="1"/>
  <c r="G222" i="5"/>
  <c r="C222" i="5" s="1"/>
  <c r="G223" i="5"/>
  <c r="C223" i="5" s="1"/>
  <c r="G224" i="5"/>
  <c r="C224" i="5" s="1"/>
  <c r="G225" i="5"/>
  <c r="C225" i="5" s="1"/>
  <c r="G226" i="5"/>
  <c r="C226" i="5" s="1"/>
  <c r="G227" i="5"/>
  <c r="C227" i="5" s="1"/>
  <c r="G228" i="5"/>
  <c r="C228" i="5" s="1"/>
  <c r="G229" i="5"/>
  <c r="C229" i="5" s="1"/>
  <c r="G230" i="5"/>
  <c r="C230" i="5" s="1"/>
  <c r="G231" i="5"/>
  <c r="C231" i="5" s="1"/>
  <c r="G232" i="5"/>
  <c r="C232" i="5" s="1"/>
  <c r="G233" i="5"/>
  <c r="C233" i="5" s="1"/>
  <c r="G234" i="5"/>
  <c r="C234" i="5" s="1"/>
  <c r="G235" i="5"/>
  <c r="C235" i="5" s="1"/>
  <c r="G236" i="5"/>
  <c r="C236" i="5" s="1"/>
  <c r="G237" i="5"/>
  <c r="C237" i="5" s="1"/>
  <c r="G238" i="5"/>
  <c r="C238" i="5" s="1"/>
  <c r="G239" i="5"/>
  <c r="C239" i="5" s="1"/>
  <c r="G240" i="5"/>
  <c r="C240" i="5" s="1"/>
  <c r="G241" i="5"/>
  <c r="C241" i="5" s="1"/>
  <c r="G242" i="5"/>
  <c r="C242" i="5" s="1"/>
  <c r="G243" i="5"/>
  <c r="C243" i="5" s="1"/>
  <c r="G244" i="5"/>
  <c r="C244" i="5" s="1"/>
  <c r="G245" i="5"/>
  <c r="C245" i="5" s="1"/>
  <c r="G246" i="5"/>
  <c r="C246" i="5" s="1"/>
  <c r="G247" i="5"/>
  <c r="C247" i="5" s="1"/>
  <c r="G248" i="5"/>
  <c r="C248" i="5" s="1"/>
  <c r="G249" i="5"/>
  <c r="C249" i="5" s="1"/>
  <c r="G250" i="5"/>
  <c r="C250" i="5" s="1"/>
  <c r="G251" i="5"/>
  <c r="C251" i="5" s="1"/>
  <c r="G252" i="5"/>
  <c r="C252" i="5" s="1"/>
  <c r="G253" i="5"/>
  <c r="C253" i="5" s="1"/>
  <c r="G254" i="5"/>
  <c r="C254" i="5" s="1"/>
  <c r="G255" i="5"/>
  <c r="C255" i="5" s="1"/>
  <c r="G256" i="5"/>
  <c r="C256" i="5" s="1"/>
  <c r="G257" i="5"/>
  <c r="C257" i="5" s="1"/>
  <c r="G258" i="5"/>
  <c r="C258" i="5" s="1"/>
  <c r="G259" i="5"/>
  <c r="C259" i="5" s="1"/>
  <c r="G260" i="5"/>
  <c r="C260" i="5" s="1"/>
  <c r="G261" i="5"/>
  <c r="C261" i="5" s="1"/>
  <c r="G262" i="5"/>
  <c r="C262" i="5" s="1"/>
  <c r="G263" i="5"/>
  <c r="C263" i="5" s="1"/>
  <c r="G264" i="5"/>
  <c r="C264" i="5" s="1"/>
  <c r="G265" i="5"/>
  <c r="C265" i="5" s="1"/>
  <c r="G266" i="5"/>
  <c r="C266" i="5" s="1"/>
  <c r="G267" i="5"/>
  <c r="C267" i="5" s="1"/>
  <c r="G268" i="5"/>
  <c r="C268" i="5" s="1"/>
  <c r="G269" i="5"/>
  <c r="C269" i="5" s="1"/>
  <c r="G270" i="5"/>
  <c r="C270" i="5" s="1"/>
  <c r="G271" i="5"/>
  <c r="C271" i="5" s="1"/>
  <c r="G272" i="5"/>
  <c r="C272" i="5" s="1"/>
  <c r="G273" i="5"/>
  <c r="C273" i="5" s="1"/>
  <c r="G274" i="5"/>
  <c r="C274" i="5" s="1"/>
  <c r="G275" i="5"/>
  <c r="C275" i="5" s="1"/>
  <c r="G276" i="5"/>
  <c r="C276" i="5" s="1"/>
  <c r="G277" i="5"/>
  <c r="C277" i="5" s="1"/>
  <c r="G278" i="5"/>
  <c r="C278" i="5" s="1"/>
  <c r="G279" i="5"/>
  <c r="C279" i="5" s="1"/>
  <c r="G280" i="5"/>
  <c r="C280" i="5" s="1"/>
  <c r="G281" i="5"/>
  <c r="C281" i="5" s="1"/>
  <c r="G282" i="5"/>
  <c r="C282" i="5" s="1"/>
  <c r="G283" i="5"/>
  <c r="C283" i="5" s="1"/>
  <c r="G284" i="5"/>
  <c r="C284" i="5" s="1"/>
  <c r="G285" i="5"/>
  <c r="C285" i="5" s="1"/>
  <c r="G286" i="5"/>
  <c r="C286" i="5" s="1"/>
  <c r="G287" i="5"/>
  <c r="C287" i="5" s="1"/>
  <c r="G288" i="5"/>
  <c r="C288" i="5" s="1"/>
  <c r="G289" i="5"/>
  <c r="C289" i="5" s="1"/>
  <c r="G290" i="5"/>
  <c r="C290" i="5" s="1"/>
  <c r="G291" i="5"/>
  <c r="C291" i="5" s="1"/>
  <c r="G292" i="5"/>
  <c r="C292" i="5" s="1"/>
  <c r="F32" i="1"/>
  <c r="E4" i="5"/>
  <c r="F4" i="5"/>
  <c r="E5" i="5"/>
  <c r="F5" i="5"/>
  <c r="E6" i="5"/>
  <c r="F6" i="5"/>
  <c r="E7" i="5"/>
  <c r="F7" i="5"/>
  <c r="E8" i="5"/>
  <c r="F8" i="5"/>
  <c r="E9" i="5"/>
  <c r="F9" i="5"/>
  <c r="E10" i="5"/>
  <c r="F10" i="5"/>
  <c r="E11" i="5"/>
  <c r="F11" i="5"/>
  <c r="E12" i="5"/>
  <c r="F12" i="5"/>
  <c r="E13" i="5"/>
  <c r="F13" i="5"/>
  <c r="E14" i="5"/>
  <c r="F14" i="5"/>
  <c r="E15" i="5"/>
  <c r="F15" i="5"/>
  <c r="E16" i="5"/>
  <c r="F16" i="5"/>
  <c r="E17" i="5"/>
  <c r="F17" i="5"/>
  <c r="E18" i="5"/>
  <c r="F18" i="5"/>
  <c r="E19" i="5"/>
  <c r="F19" i="5"/>
  <c r="E20" i="5"/>
  <c r="F20" i="5"/>
  <c r="E21" i="5"/>
  <c r="F21" i="5"/>
  <c r="E22" i="5"/>
  <c r="F22" i="5"/>
  <c r="E23" i="5"/>
  <c r="F23" i="5"/>
  <c r="E24" i="5"/>
  <c r="F24" i="5"/>
  <c r="E25" i="5"/>
  <c r="F25" i="5"/>
  <c r="E26" i="5"/>
  <c r="F26" i="5"/>
  <c r="E27" i="5"/>
  <c r="F27" i="5"/>
  <c r="E28" i="5"/>
  <c r="F28" i="5"/>
  <c r="E29" i="5"/>
  <c r="F29" i="5"/>
  <c r="E30" i="5"/>
  <c r="F30" i="5"/>
  <c r="E31" i="5"/>
  <c r="F31" i="5"/>
  <c r="E32" i="5"/>
  <c r="F32" i="5"/>
  <c r="E33" i="5"/>
  <c r="F33" i="5"/>
  <c r="E34" i="5"/>
  <c r="F34" i="5"/>
  <c r="E35" i="5"/>
  <c r="F35" i="5"/>
  <c r="E36" i="5"/>
  <c r="F36" i="5"/>
  <c r="E37" i="5"/>
  <c r="F37" i="5"/>
  <c r="E38" i="5"/>
  <c r="F38" i="5"/>
  <c r="E39" i="5"/>
  <c r="F39" i="5"/>
  <c r="E40" i="5"/>
  <c r="F40" i="5"/>
  <c r="E41" i="5"/>
  <c r="F41" i="5"/>
  <c r="E42" i="5"/>
  <c r="F42" i="5"/>
  <c r="E43" i="5"/>
  <c r="F43" i="5"/>
  <c r="E44" i="5"/>
  <c r="F44" i="5"/>
  <c r="E45" i="5"/>
  <c r="F45" i="5"/>
  <c r="E46" i="5"/>
  <c r="F46" i="5"/>
  <c r="E47" i="5"/>
  <c r="F47" i="5"/>
  <c r="E48" i="5"/>
  <c r="F48" i="5"/>
  <c r="E49" i="5"/>
  <c r="F49" i="5"/>
  <c r="E50" i="5"/>
  <c r="F50" i="5"/>
  <c r="E51" i="5"/>
  <c r="F51" i="5"/>
  <c r="E52" i="5"/>
  <c r="F52" i="5"/>
  <c r="E3" i="5"/>
  <c r="F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3" i="5"/>
  <c r="C7" i="12"/>
  <c r="C128" i="12" s="1"/>
  <c r="E38" i="1"/>
  <c r="E33" i="1"/>
  <c r="E35" i="1"/>
  <c r="E34" i="1"/>
  <c r="E36" i="1"/>
  <c r="E37"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24" i="5"/>
  <c r="T5" i="5"/>
  <c r="T6" i="5"/>
  <c r="T7" i="5"/>
  <c r="T8" i="5"/>
  <c r="T9" i="5"/>
  <c r="T10" i="5"/>
  <c r="T11" i="5"/>
  <c r="T12" i="5"/>
  <c r="T13" i="5"/>
  <c r="T14" i="5"/>
  <c r="T15" i="5"/>
  <c r="T16" i="5"/>
  <c r="T17" i="5"/>
  <c r="T18" i="5"/>
  <c r="T19" i="5"/>
  <c r="T20" i="5"/>
  <c r="T21" i="5"/>
  <c r="T22" i="5"/>
  <c r="T23" i="5"/>
  <c r="T24" i="5"/>
  <c r="T4" i="5"/>
  <c r="T3" i="5"/>
  <c r="S5" i="5"/>
  <c r="S6" i="5"/>
  <c r="S7" i="5"/>
  <c r="S8" i="5"/>
  <c r="S9" i="5"/>
  <c r="S10" i="5"/>
  <c r="S11" i="5"/>
  <c r="S12" i="5"/>
  <c r="S13" i="5"/>
  <c r="S14" i="5"/>
  <c r="S15" i="5"/>
  <c r="S16" i="5"/>
  <c r="S17" i="5"/>
  <c r="S18" i="5"/>
  <c r="S19" i="5"/>
  <c r="S20" i="5"/>
  <c r="S21" i="5"/>
  <c r="S22" i="5"/>
  <c r="S23" i="5"/>
  <c r="S4" i="5"/>
  <c r="S3" i="5"/>
  <c r="N4" i="5"/>
  <c r="K33" i="1"/>
  <c r="K34" i="1" s="1"/>
  <c r="K35" i="1" s="1"/>
  <c r="K36" i="1" s="1"/>
  <c r="K37" i="1" s="1"/>
  <c r="K38" i="1" s="1"/>
  <c r="K39" i="1" s="1"/>
  <c r="K40" i="1" s="1"/>
  <c r="K41" i="1" s="1"/>
  <c r="K42" i="1" s="1"/>
  <c r="K43" i="1" s="1"/>
  <c r="K44" i="1" s="1"/>
  <c r="K45" i="1" s="1"/>
  <c r="K46" i="1" s="1"/>
  <c r="K47" i="1" s="1"/>
  <c r="K48" i="1" s="1"/>
  <c r="K49" i="1" s="1"/>
  <c r="K50" i="1" s="1"/>
  <c r="K51" i="1" s="1"/>
  <c r="K52" i="1" s="1"/>
  <c r="K53" i="1" s="1"/>
  <c r="K54" i="1" s="1"/>
  <c r="K55" i="1" s="1"/>
  <c r="K56" i="1" s="1"/>
  <c r="K57" i="1" s="1"/>
  <c r="K58" i="1" s="1"/>
  <c r="K59" i="1" s="1"/>
  <c r="K60" i="1" s="1"/>
  <c r="K61" i="1" s="1"/>
  <c r="K62" i="1" s="1"/>
  <c r="K63" i="1" s="1"/>
  <c r="K64" i="1" s="1"/>
  <c r="K65" i="1" s="1"/>
  <c r="K66" i="1" s="1"/>
  <c r="K67" i="1" s="1"/>
  <c r="K68" i="1" s="1"/>
  <c r="K69" i="1" s="1"/>
  <c r="K70" i="1" s="1"/>
  <c r="K71" i="1" s="1"/>
  <c r="K72" i="1" s="1"/>
  <c r="K73" i="1" s="1"/>
  <c r="K74" i="1" s="1"/>
  <c r="K75" i="1" s="1"/>
  <c r="K76" i="1" s="1"/>
  <c r="K77" i="1" s="1"/>
  <c r="K78" i="1" s="1"/>
  <c r="K79" i="1" s="1"/>
  <c r="K80" i="1" s="1"/>
  <c r="K81" i="1" s="1"/>
  <c r="K82" i="1" s="1"/>
  <c r="K83" i="1" s="1"/>
  <c r="K84" i="1" s="1"/>
  <c r="K85" i="1" s="1"/>
  <c r="K86" i="1" s="1"/>
  <c r="K87" i="1" s="1"/>
  <c r="K88" i="1" s="1"/>
  <c r="K89" i="1" s="1"/>
  <c r="K90" i="1" s="1"/>
  <c r="K91" i="1" s="1"/>
  <c r="K92" i="1" s="1"/>
  <c r="K93" i="1" s="1"/>
  <c r="K94" i="1" s="1"/>
  <c r="K95" i="1" s="1"/>
  <c r="K96" i="1" s="1"/>
  <c r="K97" i="1" s="1"/>
  <c r="K98" i="1" s="1"/>
  <c r="K99" i="1" s="1"/>
  <c r="K100" i="1" s="1"/>
  <c r="K101" i="1" s="1"/>
  <c r="K102" i="1" s="1"/>
  <c r="K103" i="1" s="1"/>
  <c r="K104" i="1" s="1"/>
  <c r="K105" i="1" s="1"/>
  <c r="K106" i="1" s="1"/>
  <c r="K107" i="1" s="1"/>
  <c r="K108" i="1" s="1"/>
  <c r="K109" i="1" s="1"/>
  <c r="K110" i="1" s="1"/>
  <c r="K111" i="1" s="1"/>
  <c r="K112" i="1" s="1"/>
  <c r="K113" i="1" s="1"/>
  <c r="K114" i="1" s="1"/>
  <c r="K115" i="1" s="1"/>
  <c r="K116" i="1" s="1"/>
  <c r="K117" i="1" s="1"/>
  <c r="K118" i="1" s="1"/>
  <c r="K119" i="1" s="1"/>
  <c r="K120" i="1" s="1"/>
  <c r="K121" i="1" s="1"/>
  <c r="K122" i="1" s="1"/>
  <c r="K123" i="1" s="1"/>
  <c r="K124" i="1" s="1"/>
  <c r="K125" i="1" s="1"/>
  <c r="K126" i="1" s="1"/>
  <c r="K127" i="1" s="1"/>
  <c r="K128" i="1" s="1"/>
  <c r="K129" i="1" s="1"/>
  <c r="K130" i="1" s="1"/>
  <c r="K131" i="1" s="1"/>
  <c r="K132" i="1" s="1"/>
  <c r="K133" i="1" s="1"/>
  <c r="K134" i="1" s="1"/>
  <c r="K135" i="1" s="1"/>
  <c r="K136" i="1" s="1"/>
  <c r="K137" i="1" s="1"/>
  <c r="K138" i="1" s="1"/>
  <c r="K139" i="1" s="1"/>
  <c r="K140" i="1" s="1"/>
  <c r="K141" i="1" s="1"/>
  <c r="K142" i="1" s="1"/>
  <c r="K143" i="1" s="1"/>
  <c r="K144" i="1" s="1"/>
  <c r="K145" i="1" s="1"/>
  <c r="K146" i="1" s="1"/>
  <c r="K147" i="1" s="1"/>
  <c r="K148" i="1" s="1"/>
  <c r="K149" i="1" s="1"/>
  <c r="K150" i="1" s="1"/>
  <c r="K151" i="1" s="1"/>
  <c r="K152" i="1" s="1"/>
  <c r="K153" i="1" s="1"/>
  <c r="K154" i="1" s="1"/>
  <c r="K155" i="1" s="1"/>
  <c r="K156" i="1" s="1"/>
  <c r="K157" i="1" s="1"/>
  <c r="K158" i="1" s="1"/>
  <c r="K159" i="1" s="1"/>
  <c r="K160" i="1" s="1"/>
  <c r="K161" i="1" s="1"/>
  <c r="K162" i="1" s="1"/>
  <c r="K163" i="1" s="1"/>
  <c r="K164" i="1" s="1"/>
  <c r="K165" i="1" s="1"/>
  <c r="K166" i="1" s="1"/>
  <c r="K167" i="1" s="1"/>
  <c r="K168" i="1" s="1"/>
  <c r="K169" i="1" s="1"/>
  <c r="K170" i="1" s="1"/>
  <c r="K171" i="1" s="1"/>
  <c r="K172" i="1" s="1"/>
  <c r="K173" i="1" s="1"/>
  <c r="K174" i="1" s="1"/>
  <c r="K175" i="1" s="1"/>
  <c r="K176" i="1" s="1"/>
  <c r="K177" i="1" s="1"/>
  <c r="K178" i="1" s="1"/>
  <c r="K179" i="1" s="1"/>
  <c r="K180" i="1" s="1"/>
  <c r="K181" i="1" s="1"/>
  <c r="O32" i="1"/>
  <c r="B287" i="12"/>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H7" i="12"/>
  <c r="H128" i="12" s="1"/>
  <c r="F29" i="1"/>
  <c r="A181" i="12"/>
  <c r="A182" i="12" s="1"/>
  <c r="A183" i="12" s="1"/>
  <c r="A184" i="12" s="1"/>
  <c r="A185" i="12" s="1"/>
  <c r="A186" i="12" s="1"/>
  <c r="A187" i="12" s="1"/>
  <c r="A188" i="12" s="1"/>
  <c r="A189" i="12" s="1"/>
  <c r="A190" i="12" s="1"/>
  <c r="A191" i="12" s="1"/>
  <c r="A192" i="12" s="1"/>
  <c r="A193" i="12" s="1"/>
  <c r="A194" i="12" s="1"/>
  <c r="A195" i="12" s="1"/>
  <c r="A196" i="12" s="1"/>
  <c r="A197" i="12" s="1"/>
  <c r="A198" i="12" s="1"/>
  <c r="A199" i="12" s="1"/>
  <c r="A200" i="12" s="1"/>
  <c r="A201" i="12" s="1"/>
  <c r="A202" i="12" s="1"/>
  <c r="A203" i="12" s="1"/>
  <c r="A204" i="12" s="1"/>
  <c r="A205" i="12" s="1"/>
  <c r="A206" i="12" s="1"/>
  <c r="A207" i="12" s="1"/>
  <c r="A208" i="12" s="1"/>
  <c r="A209" i="12" s="1"/>
  <c r="A210" i="12" s="1"/>
  <c r="A211" i="12" s="1"/>
  <c r="A212" i="12" s="1"/>
  <c r="A213" i="12" s="1"/>
  <c r="A214" i="12" s="1"/>
  <c r="A215" i="12" s="1"/>
  <c r="A216" i="12" s="1"/>
  <c r="A217" i="12" s="1"/>
  <c r="A218" i="12" s="1"/>
  <c r="A219" i="12" s="1"/>
  <c r="A220" i="12" s="1"/>
  <c r="A221" i="12" s="1"/>
  <c r="A222" i="12" s="1"/>
  <c r="A223" i="12" s="1"/>
  <c r="A224" i="12" s="1"/>
  <c r="A225" i="12" s="1"/>
  <c r="A226" i="12" s="1"/>
  <c r="A227" i="12" s="1"/>
  <c r="A228" i="12" s="1"/>
  <c r="A229" i="12" s="1"/>
  <c r="A230" i="12" s="1"/>
  <c r="A129" i="12"/>
  <c r="A130" i="12" s="1"/>
  <c r="A131" i="12" s="1"/>
  <c r="A132" i="12" s="1"/>
  <c r="A133" i="12" s="1"/>
  <c r="A134" i="12" s="1"/>
  <c r="A135" i="12" s="1"/>
  <c r="A136" i="12" s="1"/>
  <c r="A137" i="12" s="1"/>
  <c r="A138" i="12" s="1"/>
  <c r="A139" i="12" s="1"/>
  <c r="A140" i="12" s="1"/>
  <c r="A141" i="12" s="1"/>
  <c r="A142" i="12" s="1"/>
  <c r="A143" i="12" s="1"/>
  <c r="A144" i="12" s="1"/>
  <c r="A145" i="12" s="1"/>
  <c r="A146" i="12" s="1"/>
  <c r="A147" i="12" s="1"/>
  <c r="A148" i="12" s="1"/>
  <c r="A149" i="12" s="1"/>
  <c r="A150" i="12" s="1"/>
  <c r="A151" i="12" s="1"/>
  <c r="A152" i="12" s="1"/>
  <c r="A153" i="12" s="1"/>
  <c r="A154" i="12" s="1"/>
  <c r="A155" i="12" s="1"/>
  <c r="A156" i="12" s="1"/>
  <c r="A157" i="12" s="1"/>
  <c r="A158" i="12" s="1"/>
  <c r="A159" i="12" s="1"/>
  <c r="A160" i="12" s="1"/>
  <c r="A161" i="12" s="1"/>
  <c r="A162" i="12" s="1"/>
  <c r="A163" i="12" s="1"/>
  <c r="A164" i="12" s="1"/>
  <c r="A165" i="12" s="1"/>
  <c r="A166" i="12" s="1"/>
  <c r="A167" i="12" s="1"/>
  <c r="A168" i="12" s="1"/>
  <c r="A169" i="12" s="1"/>
  <c r="A170" i="12" s="1"/>
  <c r="A171" i="12" s="1"/>
  <c r="A172" i="12" s="1"/>
  <c r="A173" i="12" s="1"/>
  <c r="A174" i="12" s="1"/>
  <c r="A175" i="12" s="1"/>
  <c r="A176" i="12" s="1"/>
  <c r="A177" i="12" s="1"/>
  <c r="A178" i="12" s="1"/>
  <c r="E29" i="1"/>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G29" i="1"/>
  <c r="A32" i="1"/>
  <c r="F7" i="12"/>
  <c r="F128" i="12" s="1"/>
  <c r="G7" i="12"/>
  <c r="G128" i="12" s="1"/>
  <c r="D162" i="12"/>
  <c r="D163" i="12"/>
  <c r="D164" i="12"/>
  <c r="D165" i="12"/>
  <c r="D166" i="12"/>
  <c r="D167" i="12"/>
  <c r="D168" i="12"/>
  <c r="D169" i="12"/>
  <c r="D170" i="12"/>
  <c r="D171" i="12"/>
  <c r="D172" i="12"/>
  <c r="D173" i="12"/>
  <c r="D174" i="12"/>
  <c r="D175" i="12"/>
  <c r="D176" i="12"/>
  <c r="D177" i="12"/>
  <c r="D182" i="12" l="1"/>
  <c r="H8" i="1"/>
  <c r="E11" i="1" s="1"/>
  <c r="I8" i="1"/>
  <c r="K16" i="17"/>
  <c r="G8" i="1" s="1"/>
  <c r="N19" i="1" s="1"/>
  <c r="C191" i="12"/>
  <c r="C182" i="12"/>
  <c r="C187" i="12"/>
  <c r="D32" i="1"/>
  <c r="F129" i="12" s="1"/>
  <c r="F287" i="12" s="1"/>
  <c r="C186" i="12"/>
  <c r="A33" i="1"/>
  <c r="A34" i="1" s="1"/>
  <c r="C23" i="5"/>
  <c r="G52" i="1" s="1"/>
  <c r="C48" i="5"/>
  <c r="G77" i="1" s="1"/>
  <c r="C31" i="5"/>
  <c r="G60" i="1" s="1"/>
  <c r="C27" i="5"/>
  <c r="G56" i="1" s="1"/>
  <c r="C5" i="5"/>
  <c r="G34" i="1" s="1"/>
  <c r="C37" i="5"/>
  <c r="G66" i="1" s="1"/>
  <c r="C35" i="5"/>
  <c r="G64" i="1" s="1"/>
  <c r="C50" i="5"/>
  <c r="G79" i="1" s="1"/>
  <c r="C41" i="5"/>
  <c r="G70" i="1" s="1"/>
  <c r="C25" i="5"/>
  <c r="G54" i="1" s="1"/>
  <c r="C9" i="5"/>
  <c r="G38" i="1" s="1"/>
  <c r="C49" i="5"/>
  <c r="G78" i="1" s="1"/>
  <c r="C33" i="5"/>
  <c r="G62" i="1" s="1"/>
  <c r="C17" i="5"/>
  <c r="G46" i="1" s="1"/>
  <c r="C51" i="5"/>
  <c r="G80" i="1" s="1"/>
  <c r="C15" i="5"/>
  <c r="G44" i="1" s="1"/>
  <c r="C47" i="5"/>
  <c r="G76" i="1" s="1"/>
  <c r="C46" i="5"/>
  <c r="G75" i="1" s="1"/>
  <c r="C45" i="5"/>
  <c r="G74" i="1" s="1"/>
  <c r="C29" i="5"/>
  <c r="G58" i="1" s="1"/>
  <c r="C44" i="5"/>
  <c r="G73" i="1" s="1"/>
  <c r="D76" i="12"/>
  <c r="D108" i="12"/>
  <c r="D100" i="12"/>
  <c r="D115" i="12"/>
  <c r="D77" i="12"/>
  <c r="D107" i="12"/>
  <c r="D113" i="12"/>
  <c r="D111" i="12"/>
  <c r="D121" i="12"/>
  <c r="D97" i="12"/>
  <c r="D95" i="12"/>
  <c r="D88" i="12"/>
  <c r="D81" i="12"/>
  <c r="D79" i="12"/>
  <c r="D118" i="12"/>
  <c r="D124" i="12"/>
  <c r="D87" i="12"/>
  <c r="D112" i="12"/>
  <c r="D90" i="12"/>
  <c r="D80" i="12"/>
  <c r="D116" i="12"/>
  <c r="D82" i="12"/>
  <c r="D119" i="12"/>
  <c r="D102" i="12"/>
  <c r="D91" i="12"/>
  <c r="D84" i="12"/>
  <c r="D86" i="12"/>
  <c r="D105" i="12"/>
  <c r="D110" i="12"/>
  <c r="D99" i="12"/>
  <c r="D123" i="12"/>
  <c r="D96" i="12"/>
  <c r="D120" i="12"/>
  <c r="D98" i="12"/>
  <c r="D125" i="12"/>
  <c r="D109" i="12"/>
  <c r="D103" i="12"/>
  <c r="D117" i="12"/>
  <c r="D104" i="12"/>
  <c r="D94" i="12"/>
  <c r="D101" i="12"/>
  <c r="D78" i="12"/>
  <c r="D85" i="12"/>
  <c r="D106" i="12"/>
  <c r="D83" i="12"/>
  <c r="D92" i="12"/>
  <c r="D122" i="12"/>
  <c r="D89" i="12"/>
  <c r="D126" i="12"/>
  <c r="D114" i="12"/>
  <c r="D93" i="12"/>
  <c r="A25" i="12"/>
  <c r="A26" i="12" s="1"/>
  <c r="C26" i="12" s="1"/>
  <c r="P31" i="1"/>
  <c r="C40" i="5"/>
  <c r="G69" i="1" s="1"/>
  <c r="C32" i="5"/>
  <c r="G61" i="1" s="1"/>
  <c r="C24" i="5"/>
  <c r="G53" i="1" s="1"/>
  <c r="C16" i="5"/>
  <c r="G45" i="1" s="1"/>
  <c r="C8" i="5"/>
  <c r="G37" i="1" s="1"/>
  <c r="C38" i="5"/>
  <c r="G67" i="1" s="1"/>
  <c r="C30" i="5"/>
  <c r="G59" i="1" s="1"/>
  <c r="C22" i="5"/>
  <c r="G51" i="1" s="1"/>
  <c r="G43" i="1"/>
  <c r="C6" i="5"/>
  <c r="G35" i="1" s="1"/>
  <c r="C3" i="5"/>
  <c r="G32" i="1" s="1"/>
  <c r="C21" i="5"/>
  <c r="G50" i="1" s="1"/>
  <c r="C13" i="5"/>
  <c r="G42" i="1" s="1"/>
  <c r="C39" i="5"/>
  <c r="G68" i="1" s="1"/>
  <c r="C52" i="5"/>
  <c r="G81" i="1" s="1"/>
  <c r="C36" i="5"/>
  <c r="G65" i="1" s="1"/>
  <c r="C28" i="5"/>
  <c r="G57" i="1" s="1"/>
  <c r="C20" i="5"/>
  <c r="G49" i="1" s="1"/>
  <c r="C12" i="5"/>
  <c r="G41" i="1" s="1"/>
  <c r="C4" i="5"/>
  <c r="G33" i="1" s="1"/>
  <c r="C7" i="5"/>
  <c r="G36" i="1" s="1"/>
  <c r="C43" i="5"/>
  <c r="G72" i="1" s="1"/>
  <c r="C19" i="5"/>
  <c r="G48" i="1" s="1"/>
  <c r="C11" i="5"/>
  <c r="G40" i="1" s="1"/>
  <c r="C42" i="5"/>
  <c r="G71" i="1" s="1"/>
  <c r="C34" i="5"/>
  <c r="G63" i="1" s="1"/>
  <c r="C26" i="5"/>
  <c r="G55" i="1" s="1"/>
  <c r="C18" i="5"/>
  <c r="G47" i="1" s="1"/>
  <c r="C10" i="5"/>
  <c r="G39" i="1" s="1"/>
  <c r="O33" i="1"/>
  <c r="P134" i="1"/>
  <c r="L32" i="1"/>
  <c r="P83" i="1"/>
  <c r="F33" i="1"/>
  <c r="E24" i="12"/>
  <c r="F24" i="12"/>
  <c r="C24" i="12"/>
  <c r="H24" i="12"/>
  <c r="G24" i="12"/>
  <c r="N32" i="1"/>
  <c r="P32" i="1" s="1"/>
  <c r="A35" i="1"/>
  <c r="F35" i="1"/>
  <c r="F34" i="1"/>
  <c r="D185" i="12" l="1"/>
  <c r="C189" i="12"/>
  <c r="C190" i="12"/>
  <c r="C188" i="12"/>
  <c r="C183" i="12"/>
  <c r="D184" i="12"/>
  <c r="C184" i="12"/>
  <c r="D183" i="12"/>
  <c r="C185" i="12"/>
  <c r="D33" i="1"/>
  <c r="G130" i="12" s="1"/>
  <c r="F188" i="12"/>
  <c r="E188" i="12"/>
  <c r="G188" i="12"/>
  <c r="H188" i="12"/>
  <c r="E182" i="12"/>
  <c r="G182" i="12"/>
  <c r="H182" i="12"/>
  <c r="F182" i="12"/>
  <c r="F184" i="12"/>
  <c r="G184" i="12"/>
  <c r="H184" i="12"/>
  <c r="E184" i="12"/>
  <c r="G190" i="12"/>
  <c r="H190" i="12"/>
  <c r="F190" i="12"/>
  <c r="E190" i="12"/>
  <c r="H189" i="12"/>
  <c r="F189" i="12"/>
  <c r="E189" i="12"/>
  <c r="G189" i="12"/>
  <c r="F187" i="12"/>
  <c r="G187" i="12"/>
  <c r="E187" i="12"/>
  <c r="H187" i="12"/>
  <c r="G183" i="12"/>
  <c r="H183" i="12"/>
  <c r="E183" i="12"/>
  <c r="F183" i="12"/>
  <c r="G185" i="12"/>
  <c r="E185" i="12"/>
  <c r="F185" i="12"/>
  <c r="H185" i="12"/>
  <c r="F186" i="12"/>
  <c r="G186" i="12"/>
  <c r="H186" i="12"/>
  <c r="E186" i="12"/>
  <c r="G191" i="12"/>
  <c r="H191" i="12"/>
  <c r="F191" i="12"/>
  <c r="E191" i="12"/>
  <c r="F25" i="12"/>
  <c r="C25" i="12"/>
  <c r="H25" i="12"/>
  <c r="G26" i="12"/>
  <c r="H26" i="12"/>
  <c r="A27" i="12"/>
  <c r="C27" i="12" s="1"/>
  <c r="D26" i="12"/>
  <c r="E26" i="12"/>
  <c r="G25" i="12"/>
  <c r="F26" i="12"/>
  <c r="E25" i="12"/>
  <c r="E129" i="12"/>
  <c r="E287" i="12" s="1"/>
  <c r="G129" i="12"/>
  <c r="G287" i="12" s="1"/>
  <c r="H129" i="12"/>
  <c r="H287" i="12" s="1"/>
  <c r="O34" i="1"/>
  <c r="P84" i="1"/>
  <c r="P135" i="1"/>
  <c r="L33" i="1"/>
  <c r="D25" i="12"/>
  <c r="N33" i="1"/>
  <c r="C192" i="12"/>
  <c r="F36" i="1"/>
  <c r="A36" i="1"/>
  <c r="D186" i="12" l="1"/>
  <c r="H192" i="12"/>
  <c r="G192" i="12"/>
  <c r="E192" i="12"/>
  <c r="F192" i="12"/>
  <c r="D34" i="1"/>
  <c r="E131" i="12" s="1"/>
  <c r="E27" i="12"/>
  <c r="A28" i="12"/>
  <c r="G28" i="12" s="1"/>
  <c r="H27" i="12"/>
  <c r="F27" i="12"/>
  <c r="D27" i="12"/>
  <c r="G27" i="12"/>
  <c r="G288" i="12"/>
  <c r="L34" i="1"/>
  <c r="G131" i="12"/>
  <c r="P85" i="1"/>
  <c r="P136" i="1"/>
  <c r="O35" i="1"/>
  <c r="F130" i="12"/>
  <c r="F288" i="12" s="1"/>
  <c r="E130" i="12"/>
  <c r="E288" i="12" s="1"/>
  <c r="H130" i="12"/>
  <c r="H288" i="12" s="1"/>
  <c r="P33" i="1"/>
  <c r="N34" i="1"/>
  <c r="F37" i="1"/>
  <c r="A37" i="1"/>
  <c r="D187" i="12" l="1"/>
  <c r="H131" i="12"/>
  <c r="H289" i="12" s="1"/>
  <c r="D35" i="1"/>
  <c r="C193" i="12"/>
  <c r="F193" i="12"/>
  <c r="H193" i="12"/>
  <c r="E193" i="12"/>
  <c r="G193" i="12"/>
  <c r="L35" i="1"/>
  <c r="F131" i="12"/>
  <c r="F289" i="12" s="1"/>
  <c r="C28" i="12"/>
  <c r="A29" i="12"/>
  <c r="A30" i="12" s="1"/>
  <c r="H28" i="12"/>
  <c r="F28" i="12"/>
  <c r="E28" i="12"/>
  <c r="D28" i="12"/>
  <c r="G289" i="12"/>
  <c r="E289" i="12"/>
  <c r="P137" i="1"/>
  <c r="P86" i="1"/>
  <c r="O36" i="1"/>
  <c r="P34" i="1"/>
  <c r="N35" i="1"/>
  <c r="A38" i="1"/>
  <c r="F38" i="1"/>
  <c r="D188" i="12" l="1"/>
  <c r="C194" i="12"/>
  <c r="E194" i="12"/>
  <c r="F194" i="12"/>
  <c r="G194" i="12"/>
  <c r="H194" i="12"/>
  <c r="D36" i="1"/>
  <c r="G133" i="12" s="1"/>
  <c r="G291" i="12" s="1"/>
  <c r="H29" i="12"/>
  <c r="E29" i="12"/>
  <c r="C29" i="12"/>
  <c r="D29" i="12"/>
  <c r="G29" i="12"/>
  <c r="F29" i="12"/>
  <c r="P138" i="1"/>
  <c r="O37" i="1"/>
  <c r="L36" i="1"/>
  <c r="P87" i="1"/>
  <c r="N36" i="1"/>
  <c r="P35" i="1"/>
  <c r="H30" i="12"/>
  <c r="G30" i="12"/>
  <c r="E30" i="12"/>
  <c r="F30" i="12"/>
  <c r="C30" i="12"/>
  <c r="D30" i="12"/>
  <c r="A31" i="12"/>
  <c r="F39" i="1"/>
  <c r="A39" i="1"/>
  <c r="D189" i="12" l="1"/>
  <c r="C195" i="12"/>
  <c r="G195" i="12"/>
  <c r="F195" i="12"/>
  <c r="E195" i="12"/>
  <c r="H195" i="12"/>
  <c r="D37" i="1"/>
  <c r="H134" i="12" s="1"/>
  <c r="H133" i="12"/>
  <c r="H291" i="12" s="1"/>
  <c r="F133" i="12"/>
  <c r="F291" i="12" s="1"/>
  <c r="E133" i="12"/>
  <c r="E291" i="12" s="1"/>
  <c r="L37" i="1"/>
  <c r="P88" i="1"/>
  <c r="P139" i="1"/>
  <c r="O38" i="1"/>
  <c r="P36" i="1"/>
  <c r="N37" i="1"/>
  <c r="D31" i="12"/>
  <c r="E31" i="12"/>
  <c r="H31" i="12"/>
  <c r="C31" i="12"/>
  <c r="G31" i="12"/>
  <c r="A32" i="12"/>
  <c r="F31" i="12"/>
  <c r="A40" i="1"/>
  <c r="F40" i="1"/>
  <c r="D190" i="12" l="1"/>
  <c r="C196" i="12"/>
  <c r="G196" i="12"/>
  <c r="F196" i="12"/>
  <c r="H196" i="12"/>
  <c r="E196" i="12"/>
  <c r="G134" i="12"/>
  <c r="G292" i="12" s="1"/>
  <c r="E134" i="12"/>
  <c r="E292" i="12" s="1"/>
  <c r="F134" i="12"/>
  <c r="F292" i="12" s="1"/>
  <c r="H292" i="12"/>
  <c r="L38" i="1"/>
  <c r="P140" i="1"/>
  <c r="O39" i="1"/>
  <c r="P89" i="1"/>
  <c r="N38" i="1"/>
  <c r="P37" i="1"/>
  <c r="G32" i="12"/>
  <c r="F32" i="12"/>
  <c r="E32" i="12"/>
  <c r="H32" i="12"/>
  <c r="A33" i="12"/>
  <c r="C32" i="12"/>
  <c r="D32" i="12"/>
  <c r="F41" i="1"/>
  <c r="A41" i="1"/>
  <c r="D191" i="12" l="1"/>
  <c r="C197" i="12"/>
  <c r="F197" i="12"/>
  <c r="H197" i="12"/>
  <c r="E197" i="12"/>
  <c r="G197" i="12"/>
  <c r="P141" i="1"/>
  <c r="O40" i="1"/>
  <c r="L39" i="1"/>
  <c r="P90" i="1"/>
  <c r="L40" i="1"/>
  <c r="P91" i="1"/>
  <c r="E33" i="12"/>
  <c r="D33" i="12"/>
  <c r="F33" i="12"/>
  <c r="C33" i="12"/>
  <c r="H33" i="12"/>
  <c r="G33" i="12"/>
  <c r="A34" i="12"/>
  <c r="P38" i="1"/>
  <c r="N39" i="1"/>
  <c r="F42" i="1"/>
  <c r="A42" i="1"/>
  <c r="D192" i="12" l="1"/>
  <c r="O41" i="1"/>
  <c r="P142" i="1"/>
  <c r="C198" i="12"/>
  <c r="G198" i="12"/>
  <c r="E198" i="12"/>
  <c r="H198" i="12"/>
  <c r="F198" i="12"/>
  <c r="P143" i="1"/>
  <c r="O42" i="1"/>
  <c r="P92" i="1"/>
  <c r="L41" i="1"/>
  <c r="D34" i="12"/>
  <c r="E34" i="12"/>
  <c r="A35" i="12"/>
  <c r="F34" i="12"/>
  <c r="G34" i="12"/>
  <c r="H34" i="12"/>
  <c r="C34" i="12"/>
  <c r="N40" i="1"/>
  <c r="P39" i="1"/>
  <c r="F43" i="1"/>
  <c r="A43" i="1"/>
  <c r="D193" i="12" l="1"/>
  <c r="C199" i="12"/>
  <c r="H199" i="12"/>
  <c r="E199" i="12"/>
  <c r="G199" i="12"/>
  <c r="F199" i="12"/>
  <c r="O43" i="1"/>
  <c r="P144" i="1"/>
  <c r="P93" i="1"/>
  <c r="L42" i="1"/>
  <c r="P40" i="1"/>
  <c r="N41" i="1"/>
  <c r="H35" i="12"/>
  <c r="G35" i="12"/>
  <c r="E35" i="12"/>
  <c r="D35" i="12"/>
  <c r="A36" i="12"/>
  <c r="F35" i="12"/>
  <c r="C35" i="12"/>
  <c r="A44" i="1"/>
  <c r="F44" i="1"/>
  <c r="D194" i="12" l="1"/>
  <c r="O44" i="1"/>
  <c r="L43" i="1"/>
  <c r="P145" i="1"/>
  <c r="C200" i="12"/>
  <c r="E200" i="12"/>
  <c r="G200" i="12"/>
  <c r="H200" i="12"/>
  <c r="F200" i="12"/>
  <c r="P94" i="1"/>
  <c r="D36" i="12"/>
  <c r="E36" i="12"/>
  <c r="F36" i="12"/>
  <c r="A37" i="12"/>
  <c r="G36" i="12"/>
  <c r="H36" i="12"/>
  <c r="C36" i="12"/>
  <c r="N42" i="1"/>
  <c r="P41" i="1"/>
  <c r="A45" i="1"/>
  <c r="F45" i="1"/>
  <c r="P95" i="1"/>
  <c r="O45" i="1"/>
  <c r="P146" i="1"/>
  <c r="L44" i="1"/>
  <c r="D195" i="12" l="1"/>
  <c r="C201" i="12"/>
  <c r="E201" i="12"/>
  <c r="H201" i="12"/>
  <c r="G201" i="12"/>
  <c r="F201" i="12"/>
  <c r="N43" i="1"/>
  <c r="P42" i="1"/>
  <c r="E37" i="12"/>
  <c r="A38" i="12"/>
  <c r="H37" i="12"/>
  <c r="D37" i="12"/>
  <c r="C37" i="12"/>
  <c r="F37" i="12"/>
  <c r="G37" i="12"/>
  <c r="F46" i="1"/>
  <c r="A46" i="1"/>
  <c r="P147" i="1"/>
  <c r="P96" i="1"/>
  <c r="O46" i="1"/>
  <c r="L45" i="1"/>
  <c r="D196" i="12" l="1"/>
  <c r="C202" i="12"/>
  <c r="E202" i="12"/>
  <c r="G202" i="12"/>
  <c r="H202" i="12"/>
  <c r="F202" i="12"/>
  <c r="H38" i="12"/>
  <c r="C38" i="12"/>
  <c r="A39" i="12"/>
  <c r="F38" i="12"/>
  <c r="E38" i="12"/>
  <c r="D38" i="12"/>
  <c r="G38" i="12"/>
  <c r="P43" i="1"/>
  <c r="N44" i="1"/>
  <c r="F47" i="1"/>
  <c r="A47" i="1"/>
  <c r="O47" i="1"/>
  <c r="L46" i="1"/>
  <c r="P97" i="1"/>
  <c r="P148" i="1"/>
  <c r="D197" i="12" l="1"/>
  <c r="C203" i="12"/>
  <c r="F203" i="12"/>
  <c r="E203" i="12"/>
  <c r="H203" i="12"/>
  <c r="G203" i="12"/>
  <c r="A40" i="12"/>
  <c r="D39" i="12"/>
  <c r="F39" i="12"/>
  <c r="E39" i="12"/>
  <c r="C39" i="12"/>
  <c r="G39" i="12"/>
  <c r="H39" i="12"/>
  <c r="N45" i="1"/>
  <c r="P44" i="1"/>
  <c r="L47" i="1"/>
  <c r="P149" i="1"/>
  <c r="P98" i="1"/>
  <c r="O48" i="1"/>
  <c r="A48" i="1"/>
  <c r="F48" i="1"/>
  <c r="D198" i="12" l="1"/>
  <c r="C204" i="12"/>
  <c r="E204" i="12"/>
  <c r="G204" i="12"/>
  <c r="F204" i="12"/>
  <c r="H204" i="12"/>
  <c r="P45" i="1"/>
  <c r="N46" i="1"/>
  <c r="C40" i="12"/>
  <c r="H40" i="12"/>
  <c r="F40" i="12"/>
  <c r="E40" i="12"/>
  <c r="A41" i="12"/>
  <c r="D40" i="12"/>
  <c r="G40" i="12"/>
  <c r="F49" i="1"/>
  <c r="A49" i="1"/>
  <c r="P150" i="1"/>
  <c r="L48" i="1"/>
  <c r="O49" i="1"/>
  <c r="P99" i="1"/>
  <c r="D199" i="12" l="1"/>
  <c r="C205" i="12"/>
  <c r="G205" i="12"/>
  <c r="H205" i="12"/>
  <c r="F205" i="12"/>
  <c r="E205" i="12"/>
  <c r="D41" i="12"/>
  <c r="H41" i="12"/>
  <c r="G41" i="12"/>
  <c r="A42" i="12"/>
  <c r="E41" i="12"/>
  <c r="C41" i="12"/>
  <c r="F41" i="12"/>
  <c r="P46" i="1"/>
  <c r="N47" i="1"/>
  <c r="P151" i="1"/>
  <c r="P100" i="1"/>
  <c r="O50" i="1"/>
  <c r="L49" i="1"/>
  <c r="F50" i="1"/>
  <c r="A50" i="1"/>
  <c r="D200" i="12" l="1"/>
  <c r="C206" i="12"/>
  <c r="G206" i="12"/>
  <c r="H206" i="12"/>
  <c r="F206" i="12"/>
  <c r="E206" i="12"/>
  <c r="E42" i="12"/>
  <c r="F42" i="12"/>
  <c r="A43" i="12"/>
  <c r="D42" i="12"/>
  <c r="G42" i="12"/>
  <c r="C42" i="12"/>
  <c r="H42" i="12"/>
  <c r="N48" i="1"/>
  <c r="P47" i="1"/>
  <c r="L50" i="1"/>
  <c r="O51" i="1"/>
  <c r="P152" i="1"/>
  <c r="P101" i="1"/>
  <c r="F51" i="1"/>
  <c r="A51" i="1"/>
  <c r="D201" i="12" l="1"/>
  <c r="C207" i="12"/>
  <c r="G207" i="12"/>
  <c r="E207" i="12"/>
  <c r="F207" i="12"/>
  <c r="H207" i="12"/>
  <c r="N49" i="1"/>
  <c r="P48" i="1"/>
  <c r="G43" i="12"/>
  <c r="C43" i="12"/>
  <c r="H43" i="12"/>
  <c r="A44" i="12"/>
  <c r="F43" i="12"/>
  <c r="E43" i="12"/>
  <c r="D43" i="12"/>
  <c r="L51" i="1"/>
  <c r="P102" i="1"/>
  <c r="O52" i="1"/>
  <c r="P153" i="1"/>
  <c r="F52" i="1"/>
  <c r="A52" i="1"/>
  <c r="D202" i="12" l="1"/>
  <c r="D208" i="12"/>
  <c r="C208" i="12"/>
  <c r="G208" i="12"/>
  <c r="E208" i="12"/>
  <c r="F208" i="12"/>
  <c r="H208" i="12"/>
  <c r="E44" i="12"/>
  <c r="H44" i="12"/>
  <c r="G44" i="12"/>
  <c r="C44" i="12"/>
  <c r="F44" i="12"/>
  <c r="D44" i="12"/>
  <c r="A45" i="12"/>
  <c r="P49" i="1"/>
  <c r="N50" i="1"/>
  <c r="P103" i="1"/>
  <c r="P154" i="1"/>
  <c r="O53" i="1"/>
  <c r="L52" i="1"/>
  <c r="A53" i="1"/>
  <c r="F53" i="1"/>
  <c r="D203" i="12" l="1"/>
  <c r="D209" i="12"/>
  <c r="D315" i="12" s="1"/>
  <c r="C209" i="12"/>
  <c r="G209" i="12"/>
  <c r="F209" i="12"/>
  <c r="E209" i="12"/>
  <c r="H209" i="12"/>
  <c r="A46" i="12"/>
  <c r="H45" i="12"/>
  <c r="F45" i="12"/>
  <c r="G45" i="12"/>
  <c r="E45" i="12"/>
  <c r="C45" i="12"/>
  <c r="D45" i="12"/>
  <c r="P50" i="1"/>
  <c r="N51" i="1"/>
  <c r="A54" i="1"/>
  <c r="F54" i="1"/>
  <c r="P104" i="1"/>
  <c r="P155" i="1"/>
  <c r="O54" i="1"/>
  <c r="L53" i="1"/>
  <c r="D204" i="12" l="1"/>
  <c r="D210" i="12"/>
  <c r="D316" i="12" s="1"/>
  <c r="C210" i="12"/>
  <c r="F210" i="12"/>
  <c r="H210" i="12"/>
  <c r="E210" i="12"/>
  <c r="G210" i="12"/>
  <c r="N52" i="1"/>
  <c r="P51" i="1"/>
  <c r="D46" i="12"/>
  <c r="C46" i="12"/>
  <c r="H46" i="12"/>
  <c r="E46" i="12"/>
  <c r="G46" i="12"/>
  <c r="F46" i="12"/>
  <c r="A47" i="12"/>
  <c r="P156" i="1"/>
  <c r="P105" i="1"/>
  <c r="O55" i="1"/>
  <c r="L54" i="1"/>
  <c r="F55" i="1"/>
  <c r="A55" i="1"/>
  <c r="D205" i="12" l="1"/>
  <c r="D211" i="12"/>
  <c r="D317" i="12" s="1"/>
  <c r="C211" i="12"/>
  <c r="H211" i="12"/>
  <c r="E211" i="12"/>
  <c r="G211" i="12"/>
  <c r="F211" i="12"/>
  <c r="D47" i="12"/>
  <c r="G47" i="12"/>
  <c r="F47" i="12"/>
  <c r="H47" i="12"/>
  <c r="A48" i="12"/>
  <c r="C47" i="12"/>
  <c r="E47" i="12"/>
  <c r="P52" i="1"/>
  <c r="N53" i="1"/>
  <c r="A56" i="1"/>
  <c r="F56" i="1"/>
  <c r="P106" i="1"/>
  <c r="O56" i="1"/>
  <c r="L55" i="1"/>
  <c r="P157" i="1"/>
  <c r="D206" i="12" l="1"/>
  <c r="D212" i="12"/>
  <c r="D318" i="12" s="1"/>
  <c r="C212" i="12"/>
  <c r="E212" i="12"/>
  <c r="G212" i="12"/>
  <c r="F212" i="12"/>
  <c r="H212" i="12"/>
  <c r="F48" i="12"/>
  <c r="A49" i="12"/>
  <c r="G48" i="12"/>
  <c r="D48" i="12"/>
  <c r="C48" i="12"/>
  <c r="E48" i="12"/>
  <c r="H48" i="12"/>
  <c r="P53" i="1"/>
  <c r="N54" i="1"/>
  <c r="P158" i="1"/>
  <c r="O57" i="1"/>
  <c r="P107" i="1"/>
  <c r="L56" i="1"/>
  <c r="A57" i="1"/>
  <c r="F57" i="1"/>
  <c r="D207" i="12" l="1"/>
  <c r="D213" i="12"/>
  <c r="D319" i="12" s="1"/>
  <c r="C213" i="12"/>
  <c r="H213" i="12"/>
  <c r="E213" i="12"/>
  <c r="G213" i="12"/>
  <c r="F213" i="12"/>
  <c r="P54" i="1"/>
  <c r="N55" i="1"/>
  <c r="G49" i="12"/>
  <c r="A50" i="12"/>
  <c r="D49" i="12"/>
  <c r="H49" i="12"/>
  <c r="C49" i="12"/>
  <c r="E49" i="12"/>
  <c r="F49" i="12"/>
  <c r="P108" i="1"/>
  <c r="O58" i="1"/>
  <c r="P159" i="1"/>
  <c r="L57" i="1"/>
  <c r="A58" i="1"/>
  <c r="D214" i="12" l="1"/>
  <c r="D320" i="12" s="1"/>
  <c r="C214" i="12"/>
  <c r="E214" i="12"/>
  <c r="G214" i="12"/>
  <c r="H214" i="12"/>
  <c r="F214" i="12"/>
  <c r="A51" i="12"/>
  <c r="G50" i="12"/>
  <c r="H50" i="12"/>
  <c r="F50" i="12"/>
  <c r="C50" i="12"/>
  <c r="E50" i="12"/>
  <c r="D50" i="12"/>
  <c r="P55" i="1"/>
  <c r="N56" i="1"/>
  <c r="O59" i="1"/>
  <c r="P109" i="1"/>
  <c r="P160" i="1"/>
  <c r="L58" i="1"/>
  <c r="A59" i="1"/>
  <c r="D215" i="12" l="1"/>
  <c r="D321" i="12" s="1"/>
  <c r="C215" i="12"/>
  <c r="E215" i="12"/>
  <c r="G215" i="12"/>
  <c r="H215" i="12"/>
  <c r="F215" i="12"/>
  <c r="D259" i="12"/>
  <c r="P56" i="1"/>
  <c r="N57" i="1"/>
  <c r="A52" i="12"/>
  <c r="E51" i="12"/>
  <c r="H51" i="12"/>
  <c r="C51" i="12"/>
  <c r="D51" i="12"/>
  <c r="G51" i="12"/>
  <c r="F51" i="12"/>
  <c r="A60" i="1"/>
  <c r="P110" i="1"/>
  <c r="P161" i="1"/>
  <c r="O60" i="1"/>
  <c r="L59" i="1"/>
  <c r="D216" i="12" l="1"/>
  <c r="C216" i="12"/>
  <c r="F216" i="12"/>
  <c r="H216" i="12"/>
  <c r="E216" i="12"/>
  <c r="G216" i="12"/>
  <c r="D52" i="12"/>
  <c r="F52" i="12"/>
  <c r="C52" i="12"/>
  <c r="A53" i="12"/>
  <c r="H52" i="12"/>
  <c r="E52" i="12"/>
  <c r="G52" i="12"/>
  <c r="P57" i="1"/>
  <c r="N58" i="1"/>
  <c r="A61" i="1"/>
  <c r="P111" i="1"/>
  <c r="O61" i="1"/>
  <c r="L60" i="1"/>
  <c r="P162" i="1"/>
  <c r="D217" i="12" l="1"/>
  <c r="C217" i="12"/>
  <c r="G217" i="12"/>
  <c r="H217" i="12"/>
  <c r="F217" i="12"/>
  <c r="E217" i="12"/>
  <c r="O19" i="1"/>
  <c r="P19" i="1"/>
  <c r="D257" i="12" s="1"/>
  <c r="C53" i="12"/>
  <c r="D53" i="12"/>
  <c r="H53" i="12"/>
  <c r="G53" i="12"/>
  <c r="A54" i="12"/>
  <c r="E53" i="12"/>
  <c r="F53" i="12"/>
  <c r="P58" i="1"/>
  <c r="N59" i="1"/>
  <c r="A62" i="1"/>
  <c r="P163" i="1"/>
  <c r="P112" i="1"/>
  <c r="O62" i="1"/>
  <c r="L61" i="1"/>
  <c r="D218" i="12" l="1"/>
  <c r="C218" i="12"/>
  <c r="G218" i="12"/>
  <c r="F218" i="12"/>
  <c r="H218" i="12"/>
  <c r="E218" i="12"/>
  <c r="D260" i="12"/>
  <c r="D54" i="12"/>
  <c r="A55" i="12"/>
  <c r="C54" i="12"/>
  <c r="G54" i="12"/>
  <c r="E54" i="12"/>
  <c r="F54" i="12"/>
  <c r="H54" i="12"/>
  <c r="N60" i="1"/>
  <c r="P59" i="1"/>
  <c r="A63" i="1"/>
  <c r="P164" i="1"/>
  <c r="O63" i="1"/>
  <c r="P113" i="1"/>
  <c r="L62" i="1"/>
  <c r="D16" i="12" l="1"/>
  <c r="D219" i="12"/>
  <c r="C219" i="12"/>
  <c r="E219" i="12"/>
  <c r="G219" i="12"/>
  <c r="F219" i="12"/>
  <c r="H219" i="12"/>
  <c r="H55" i="12"/>
  <c r="G55" i="12"/>
  <c r="E55" i="12"/>
  <c r="D55" i="12"/>
  <c r="F55" i="12"/>
  <c r="A56" i="12"/>
  <c r="C55" i="12"/>
  <c r="P60" i="1"/>
  <c r="N61" i="1"/>
  <c r="A64" i="1"/>
  <c r="P114" i="1"/>
  <c r="L63" i="1"/>
  <c r="P165" i="1"/>
  <c r="O64" i="1"/>
  <c r="D220" i="12" l="1"/>
  <c r="C220" i="12"/>
  <c r="H220" i="12"/>
  <c r="G220" i="12"/>
  <c r="F220" i="12"/>
  <c r="E220" i="12"/>
  <c r="A57" i="12"/>
  <c r="F56" i="12"/>
  <c r="H56" i="12"/>
  <c r="E56" i="12"/>
  <c r="C56" i="12"/>
  <c r="D56" i="12"/>
  <c r="G56" i="12"/>
  <c r="P61" i="1"/>
  <c r="N62" i="1"/>
  <c r="P115" i="1"/>
  <c r="O65" i="1"/>
  <c r="P166" i="1"/>
  <c r="L64" i="1"/>
  <c r="A65" i="1"/>
  <c r="D221" i="12" l="1"/>
  <c r="C221" i="12"/>
  <c r="H221" i="12"/>
  <c r="F221" i="12"/>
  <c r="G221" i="12"/>
  <c r="E221" i="12"/>
  <c r="N63" i="1"/>
  <c r="P62" i="1"/>
  <c r="H57" i="12"/>
  <c r="E57" i="12"/>
  <c r="F57" i="12"/>
  <c r="G57" i="12"/>
  <c r="A58" i="12"/>
  <c r="D57" i="12"/>
  <c r="C57" i="12"/>
  <c r="O66" i="1"/>
  <c r="P116" i="1"/>
  <c r="P167" i="1"/>
  <c r="L65" i="1"/>
  <c r="A66" i="1"/>
  <c r="D222" i="12" l="1"/>
  <c r="C222" i="12"/>
  <c r="H222" i="12"/>
  <c r="F222" i="12"/>
  <c r="E222" i="12"/>
  <c r="G222" i="12"/>
  <c r="F58" i="12"/>
  <c r="G58" i="12"/>
  <c r="D58" i="12"/>
  <c r="E58" i="12"/>
  <c r="A59" i="12"/>
  <c r="C58" i="12"/>
  <c r="H58" i="12"/>
  <c r="N64" i="1"/>
  <c r="P63" i="1"/>
  <c r="P168" i="1"/>
  <c r="L66" i="1"/>
  <c r="P117" i="1"/>
  <c r="O67" i="1"/>
  <c r="A67" i="1"/>
  <c r="D223" i="12" l="1"/>
  <c r="C223" i="12"/>
  <c r="G223" i="12"/>
  <c r="H223" i="12"/>
  <c r="F223" i="12"/>
  <c r="E223" i="12"/>
  <c r="N65" i="1"/>
  <c r="P64" i="1"/>
  <c r="H59" i="12"/>
  <c r="E59" i="12"/>
  <c r="D59" i="12"/>
  <c r="A60" i="12"/>
  <c r="C59" i="12"/>
  <c r="G59" i="12"/>
  <c r="F59" i="12"/>
  <c r="A68" i="1"/>
  <c r="L67" i="1"/>
  <c r="P169" i="1"/>
  <c r="P118" i="1"/>
  <c r="O68" i="1"/>
  <c r="D224" i="12" l="1"/>
  <c r="C224" i="12"/>
  <c r="E224" i="12"/>
  <c r="H224" i="12"/>
  <c r="G224" i="12"/>
  <c r="F224" i="12"/>
  <c r="N66" i="1"/>
  <c r="P65" i="1"/>
  <c r="C60" i="12"/>
  <c r="E60" i="12"/>
  <c r="F60" i="12"/>
  <c r="H60" i="12"/>
  <c r="A61" i="12"/>
  <c r="G60" i="12"/>
  <c r="D60" i="12"/>
  <c r="P119" i="1"/>
  <c r="P170" i="1"/>
  <c r="O69" i="1"/>
  <c r="L68" i="1"/>
  <c r="A69" i="1"/>
  <c r="D225" i="12" l="1"/>
  <c r="C225" i="12"/>
  <c r="G225" i="12"/>
  <c r="H225" i="12"/>
  <c r="E225" i="12"/>
  <c r="F225" i="12"/>
  <c r="C61" i="12"/>
  <c r="D61" i="12"/>
  <c r="E61" i="12"/>
  <c r="G61" i="12"/>
  <c r="H61" i="12"/>
  <c r="A62" i="12"/>
  <c r="F61" i="12"/>
  <c r="N67" i="1"/>
  <c r="P66" i="1"/>
  <c r="O70" i="1"/>
  <c r="P171" i="1"/>
  <c r="P120" i="1"/>
  <c r="L69" i="1"/>
  <c r="A70" i="1"/>
  <c r="D226" i="12" l="1"/>
  <c r="C226" i="12"/>
  <c r="F226" i="12"/>
  <c r="E226" i="12"/>
  <c r="G226" i="12"/>
  <c r="H226" i="12"/>
  <c r="A63" i="12"/>
  <c r="G62" i="12"/>
  <c r="H62" i="12"/>
  <c r="F62" i="12"/>
  <c r="E62" i="12"/>
  <c r="C62" i="12"/>
  <c r="D62" i="12"/>
  <c r="N68" i="1"/>
  <c r="P67" i="1"/>
  <c r="A71" i="1"/>
  <c r="O71" i="1"/>
  <c r="P121" i="1"/>
  <c r="L70" i="1"/>
  <c r="P172" i="1"/>
  <c r="D227" i="12" l="1"/>
  <c r="C227" i="12"/>
  <c r="F227" i="12"/>
  <c r="E227" i="12"/>
  <c r="G227" i="12"/>
  <c r="H227" i="12"/>
  <c r="N69" i="1"/>
  <c r="P68" i="1"/>
  <c r="G63" i="12"/>
  <c r="F63" i="12"/>
  <c r="A64" i="12"/>
  <c r="H63" i="12"/>
  <c r="C63" i="12"/>
  <c r="E63" i="12"/>
  <c r="D63" i="12"/>
  <c r="A72" i="1"/>
  <c r="L71" i="1"/>
  <c r="O72" i="1"/>
  <c r="P122" i="1"/>
  <c r="P173" i="1"/>
  <c r="D228" i="12" l="1"/>
  <c r="C228" i="12"/>
  <c r="E228" i="12"/>
  <c r="H228" i="12"/>
  <c r="F228" i="12"/>
  <c r="G228" i="12"/>
  <c r="H64" i="12"/>
  <c r="A65" i="12"/>
  <c r="F64" i="12"/>
  <c r="C64" i="12"/>
  <c r="D64" i="12"/>
  <c r="E64" i="12"/>
  <c r="G64" i="12"/>
  <c r="P69" i="1"/>
  <c r="N70" i="1"/>
  <c r="A73" i="1"/>
  <c r="P123" i="1"/>
  <c r="P174" i="1"/>
  <c r="O73" i="1"/>
  <c r="L72" i="1"/>
  <c r="D229" i="12" l="1"/>
  <c r="C229" i="12"/>
  <c r="H229" i="12"/>
  <c r="G229" i="12"/>
  <c r="F229" i="12"/>
  <c r="E229" i="12"/>
  <c r="P70" i="1"/>
  <c r="N71" i="1"/>
  <c r="H65" i="12"/>
  <c r="F65" i="12"/>
  <c r="D65" i="12"/>
  <c r="C65" i="12"/>
  <c r="G65" i="12"/>
  <c r="A66" i="12"/>
  <c r="E65" i="12"/>
  <c r="P175" i="1"/>
  <c r="P124" i="1"/>
  <c r="O74" i="1"/>
  <c r="L73" i="1"/>
  <c r="A74" i="1"/>
  <c r="D230" i="12" l="1"/>
  <c r="C230" i="12"/>
  <c r="F230" i="12"/>
  <c r="H230" i="12"/>
  <c r="E230" i="12"/>
  <c r="G230" i="12"/>
  <c r="P71" i="1"/>
  <c r="N72" i="1"/>
  <c r="G66" i="12"/>
  <c r="C66" i="12"/>
  <c r="A67" i="12"/>
  <c r="E66" i="12"/>
  <c r="H66" i="12"/>
  <c r="D66" i="12"/>
  <c r="F66" i="12"/>
  <c r="A75" i="1"/>
  <c r="P125" i="1"/>
  <c r="O75" i="1"/>
  <c r="P176" i="1"/>
  <c r="L74" i="1"/>
  <c r="P72" i="1" l="1"/>
  <c r="N73" i="1"/>
  <c r="C67" i="12"/>
  <c r="H67" i="12"/>
  <c r="G67" i="12"/>
  <c r="A68" i="12"/>
  <c r="E67" i="12"/>
  <c r="D67" i="12"/>
  <c r="F67" i="12"/>
  <c r="A76" i="1"/>
  <c r="P126" i="1"/>
  <c r="O76" i="1"/>
  <c r="L75" i="1"/>
  <c r="P177" i="1"/>
  <c r="D68" i="12" l="1"/>
  <c r="G68" i="12"/>
  <c r="H68" i="12"/>
  <c r="C68" i="12"/>
  <c r="A69" i="12"/>
  <c r="F68" i="12"/>
  <c r="E68" i="12"/>
  <c r="P73" i="1"/>
  <c r="N74" i="1"/>
  <c r="O77" i="1"/>
  <c r="L76" i="1"/>
  <c r="P127" i="1"/>
  <c r="P178" i="1"/>
  <c r="A77" i="1"/>
  <c r="F69" i="12" l="1"/>
  <c r="E69" i="12"/>
  <c r="G69" i="12"/>
  <c r="C69" i="12"/>
  <c r="H69" i="12"/>
  <c r="D69" i="12"/>
  <c r="A70" i="12"/>
  <c r="N75" i="1"/>
  <c r="P74" i="1"/>
  <c r="A78" i="1"/>
  <c r="O78" i="1"/>
  <c r="P128" i="1"/>
  <c r="P179" i="1"/>
  <c r="L77" i="1"/>
  <c r="P75" i="1" l="1"/>
  <c r="N76" i="1"/>
  <c r="A71" i="12"/>
  <c r="E70" i="12"/>
  <c r="C70" i="12"/>
  <c r="F70" i="12"/>
  <c r="D70" i="12"/>
  <c r="G70" i="12"/>
  <c r="H70" i="12"/>
  <c r="A79" i="1"/>
  <c r="O79" i="1"/>
  <c r="L78" i="1"/>
  <c r="P180" i="1"/>
  <c r="P129" i="1"/>
  <c r="E71" i="12" l="1"/>
  <c r="F71" i="12"/>
  <c r="H71" i="12"/>
  <c r="C71" i="12"/>
  <c r="A72" i="12"/>
  <c r="D71" i="12"/>
  <c r="G71" i="12"/>
  <c r="N77" i="1"/>
  <c r="P76" i="1"/>
  <c r="O80" i="1"/>
  <c r="P130" i="1"/>
  <c r="P181" i="1"/>
  <c r="L79" i="1"/>
  <c r="A80" i="1"/>
  <c r="D72" i="12" l="1"/>
  <c r="H72" i="12"/>
  <c r="F72" i="12"/>
  <c r="A73" i="12"/>
  <c r="A74" i="12" s="1"/>
  <c r="C72" i="12"/>
  <c r="G72" i="12"/>
  <c r="E72" i="12"/>
  <c r="P77" i="1"/>
  <c r="N78" i="1"/>
  <c r="A81" i="1"/>
  <c r="P182" i="1"/>
  <c r="O81" i="1"/>
  <c r="L80" i="1"/>
  <c r="P131" i="1"/>
  <c r="C74" i="12" l="1"/>
  <c r="D74" i="12"/>
  <c r="E74" i="12"/>
  <c r="F74" i="12"/>
  <c r="G74" i="12"/>
  <c r="H74" i="12"/>
  <c r="F73" i="12"/>
  <c r="F16" i="12" s="1"/>
  <c r="E73" i="12"/>
  <c r="C73" i="12"/>
  <c r="C16" i="12" s="1"/>
  <c r="G73" i="12"/>
  <c r="H73" i="12"/>
  <c r="H16" i="12" s="1"/>
  <c r="D73" i="12"/>
  <c r="P78" i="1"/>
  <c r="N79" i="1"/>
  <c r="L81" i="1"/>
  <c r="O82" i="1"/>
  <c r="A82" i="1"/>
  <c r="G16" i="12" l="1"/>
  <c r="E16" i="12"/>
  <c r="N80" i="1"/>
  <c r="P79" i="1"/>
  <c r="A83" i="1"/>
  <c r="L82" i="1"/>
  <c r="O83" i="1"/>
  <c r="P80" i="1" l="1"/>
  <c r="R19" i="1" s="1"/>
  <c r="N81" i="1"/>
  <c r="N82" i="1" s="1"/>
  <c r="N83" i="1" s="1"/>
  <c r="N84" i="1" s="1"/>
  <c r="N85" i="1" s="1"/>
  <c r="N86" i="1" s="1"/>
  <c r="N87" i="1" s="1"/>
  <c r="N88" i="1" s="1"/>
  <c r="N89" i="1" s="1"/>
  <c r="N90" i="1" s="1"/>
  <c r="N91" i="1" s="1"/>
  <c r="N92" i="1" s="1"/>
  <c r="N93" i="1" s="1"/>
  <c r="N94" i="1" s="1"/>
  <c r="N95" i="1" s="1"/>
  <c r="N96" i="1" s="1"/>
  <c r="N97" i="1" s="1"/>
  <c r="N98" i="1" s="1"/>
  <c r="N99" i="1" s="1"/>
  <c r="N100" i="1" s="1"/>
  <c r="N101" i="1" s="1"/>
  <c r="N102" i="1" s="1"/>
  <c r="N103" i="1" s="1"/>
  <c r="N104" i="1" s="1"/>
  <c r="N105" i="1" s="1"/>
  <c r="N106" i="1" s="1"/>
  <c r="N107" i="1" s="1"/>
  <c r="N108" i="1" s="1"/>
  <c r="N109" i="1" s="1"/>
  <c r="N110" i="1" s="1"/>
  <c r="N111" i="1" s="1"/>
  <c r="N112" i="1" s="1"/>
  <c r="N113" i="1" s="1"/>
  <c r="N114" i="1" s="1"/>
  <c r="N115" i="1" s="1"/>
  <c r="N116" i="1" s="1"/>
  <c r="N117" i="1" s="1"/>
  <c r="N118" i="1" s="1"/>
  <c r="N119" i="1" s="1"/>
  <c r="N120" i="1" s="1"/>
  <c r="N121" i="1" s="1"/>
  <c r="N122" i="1" s="1"/>
  <c r="N123" i="1" s="1"/>
  <c r="N124" i="1" s="1"/>
  <c r="N125" i="1" s="1"/>
  <c r="N126" i="1" s="1"/>
  <c r="N127" i="1" s="1"/>
  <c r="N128" i="1" s="1"/>
  <c r="N129" i="1" s="1"/>
  <c r="N130" i="1" s="1"/>
  <c r="N131" i="1" s="1"/>
  <c r="N132" i="1" s="1"/>
  <c r="N133" i="1" s="1"/>
  <c r="N134" i="1" s="1"/>
  <c r="N135" i="1" s="1"/>
  <c r="N136" i="1" s="1"/>
  <c r="N137" i="1" s="1"/>
  <c r="N138" i="1" s="1"/>
  <c r="N139" i="1" s="1"/>
  <c r="N140" i="1" s="1"/>
  <c r="N141" i="1" s="1"/>
  <c r="N142" i="1" s="1"/>
  <c r="N143" i="1" s="1"/>
  <c r="N144" i="1" s="1"/>
  <c r="N145" i="1" s="1"/>
  <c r="N146" i="1" s="1"/>
  <c r="N147" i="1" s="1"/>
  <c r="N148" i="1" s="1"/>
  <c r="N149" i="1" s="1"/>
  <c r="N150" i="1" s="1"/>
  <c r="N151" i="1" s="1"/>
  <c r="N152" i="1" s="1"/>
  <c r="N153" i="1" s="1"/>
  <c r="N154" i="1" s="1"/>
  <c r="N155" i="1" s="1"/>
  <c r="N156" i="1" s="1"/>
  <c r="N157" i="1" s="1"/>
  <c r="N158" i="1" s="1"/>
  <c r="N159" i="1" s="1"/>
  <c r="N160" i="1" s="1"/>
  <c r="N161" i="1" s="1"/>
  <c r="N162" i="1" s="1"/>
  <c r="N163" i="1" s="1"/>
  <c r="N164" i="1" s="1"/>
  <c r="N165" i="1" s="1"/>
  <c r="N166" i="1" s="1"/>
  <c r="N167" i="1" s="1"/>
  <c r="N168" i="1" s="1"/>
  <c r="N169" i="1" s="1"/>
  <c r="N170" i="1" s="1"/>
  <c r="N171" i="1" s="1"/>
  <c r="N172" i="1" s="1"/>
  <c r="N173" i="1" s="1"/>
  <c r="N174" i="1" s="1"/>
  <c r="N175" i="1" s="1"/>
  <c r="N176" i="1" s="1"/>
  <c r="N177" i="1" s="1"/>
  <c r="N178" i="1" s="1"/>
  <c r="N179" i="1" s="1"/>
  <c r="N180" i="1" s="1"/>
  <c r="N181" i="1" s="1"/>
  <c r="A84" i="1"/>
  <c r="O84" i="1"/>
  <c r="L83" i="1"/>
  <c r="R20" i="1" l="1"/>
  <c r="R18" i="1" s="1"/>
  <c r="O85" i="1"/>
  <c r="L84" i="1"/>
  <c r="A85" i="1"/>
  <c r="E17" i="12" l="1"/>
  <c r="G17" i="12"/>
  <c r="G286" i="12" s="1"/>
  <c r="H17" i="12"/>
  <c r="H286" i="12" s="1"/>
  <c r="C17" i="12"/>
  <c r="D17" i="12"/>
  <c r="D286" i="12" s="1"/>
  <c r="F17" i="12"/>
  <c r="F286" i="12" s="1"/>
  <c r="A86" i="1"/>
  <c r="L85" i="1"/>
  <c r="O86" i="1"/>
  <c r="C286" i="12" l="1"/>
  <c r="D8" i="1"/>
  <c r="E286" i="12"/>
  <c r="O87" i="1"/>
  <c r="L86" i="1"/>
  <c r="A87" i="1"/>
  <c r="E132" i="12" l="1"/>
  <c r="E290" i="12" s="1"/>
  <c r="F132" i="12"/>
  <c r="F290" i="12" s="1"/>
  <c r="H132" i="12"/>
  <c r="H290" i="12" s="1"/>
  <c r="G132" i="12"/>
  <c r="G290" i="12" s="1"/>
  <c r="A88" i="1"/>
  <c r="L87" i="1"/>
  <c r="O88" i="1"/>
  <c r="A89" i="1" l="1"/>
  <c r="L88" i="1"/>
  <c r="O89" i="1"/>
  <c r="L89" i="1" l="1"/>
  <c r="O90" i="1"/>
  <c r="A90" i="1"/>
  <c r="L90" i="1" l="1"/>
  <c r="O91" i="1"/>
  <c r="L91" i="1" l="1"/>
  <c r="O92" i="1"/>
  <c r="L92" i="1" l="1"/>
  <c r="O93" i="1"/>
  <c r="L93" i="1" l="1"/>
  <c r="O94" i="1"/>
  <c r="O95" i="1" l="1"/>
  <c r="L94" i="1"/>
  <c r="O96" i="1" l="1"/>
  <c r="L95" i="1"/>
  <c r="L96" i="1" l="1"/>
  <c r="O97" i="1"/>
  <c r="L97" i="1" l="1"/>
  <c r="O98" i="1"/>
  <c r="L98" i="1" l="1"/>
  <c r="O99" i="1"/>
  <c r="L99" i="1" l="1"/>
  <c r="O100" i="1"/>
  <c r="L100" i="1" l="1"/>
  <c r="O101" i="1"/>
  <c r="O102" i="1" l="1"/>
  <c r="L101" i="1"/>
  <c r="L102" i="1" l="1"/>
  <c r="O103" i="1"/>
  <c r="L103" i="1" l="1"/>
  <c r="O104" i="1"/>
  <c r="O105" i="1" l="1"/>
  <c r="L104" i="1"/>
  <c r="L105" i="1" l="1"/>
  <c r="O106" i="1"/>
  <c r="L106" i="1" l="1"/>
  <c r="O107" i="1"/>
  <c r="O108" i="1" l="1"/>
  <c r="L107" i="1"/>
  <c r="L108" i="1" l="1"/>
  <c r="O109" i="1"/>
  <c r="L109" i="1" l="1"/>
  <c r="O110" i="1"/>
  <c r="L110" i="1" l="1"/>
  <c r="O111" i="1"/>
  <c r="L111" i="1" l="1"/>
  <c r="O112" i="1"/>
  <c r="O113" i="1" l="1"/>
  <c r="L112" i="1"/>
  <c r="L113" i="1" l="1"/>
  <c r="O114" i="1"/>
  <c r="O115" i="1" l="1"/>
  <c r="L114" i="1"/>
  <c r="L115" i="1" l="1"/>
  <c r="O116" i="1"/>
  <c r="L116" i="1" l="1"/>
  <c r="O117" i="1"/>
  <c r="L117" i="1" l="1"/>
  <c r="O118" i="1"/>
  <c r="O119" i="1" l="1"/>
  <c r="L118" i="1"/>
  <c r="L119" i="1" l="1"/>
  <c r="O120" i="1"/>
  <c r="L120" i="1" l="1"/>
  <c r="O121" i="1"/>
  <c r="O122" i="1" l="1"/>
  <c r="L121" i="1"/>
  <c r="L122" i="1" l="1"/>
  <c r="O123" i="1"/>
  <c r="L123" i="1" l="1"/>
  <c r="O124" i="1"/>
  <c r="O125" i="1" l="1"/>
  <c r="L124" i="1"/>
  <c r="L125" i="1" l="1"/>
  <c r="O126" i="1"/>
  <c r="O127" i="1" l="1"/>
  <c r="L126" i="1"/>
  <c r="O128" i="1" l="1"/>
  <c r="L127" i="1"/>
  <c r="O129" i="1" l="1"/>
  <c r="L128" i="1"/>
  <c r="L129" i="1" l="1"/>
  <c r="O130" i="1"/>
  <c r="L130" i="1" l="1"/>
  <c r="O131" i="1"/>
  <c r="L131" i="1" l="1"/>
  <c r="O132" i="1"/>
  <c r="L132" i="1" l="1"/>
  <c r="O133" i="1"/>
  <c r="O134" i="1" l="1"/>
  <c r="L133" i="1"/>
  <c r="L134" i="1" l="1"/>
  <c r="O135" i="1"/>
  <c r="O136" i="1" l="1"/>
  <c r="L135" i="1"/>
  <c r="O137" i="1" l="1"/>
  <c r="L136" i="1"/>
  <c r="L137" i="1" l="1"/>
  <c r="O138" i="1"/>
  <c r="L138" i="1" l="1"/>
  <c r="O139" i="1"/>
  <c r="L139" i="1" l="1"/>
  <c r="O140" i="1"/>
  <c r="L140" i="1" l="1"/>
  <c r="O141" i="1"/>
  <c r="O142" i="1" l="1"/>
  <c r="L141" i="1"/>
  <c r="L142" i="1" l="1"/>
  <c r="O143" i="1"/>
  <c r="L143" i="1" l="1"/>
  <c r="O144" i="1"/>
  <c r="L144" i="1" l="1"/>
  <c r="O145" i="1"/>
  <c r="L145" i="1" l="1"/>
  <c r="O146" i="1"/>
  <c r="L146" i="1" l="1"/>
  <c r="O147" i="1"/>
  <c r="L147" i="1" l="1"/>
  <c r="O148" i="1"/>
  <c r="O149" i="1" l="1"/>
  <c r="L148" i="1"/>
  <c r="L149" i="1" l="1"/>
  <c r="O150" i="1"/>
  <c r="O151" i="1" l="1"/>
  <c r="L150" i="1"/>
  <c r="O152" i="1" l="1"/>
  <c r="L151" i="1"/>
  <c r="L152" i="1" l="1"/>
  <c r="O153" i="1"/>
  <c r="L153" i="1" l="1"/>
  <c r="O154" i="1"/>
  <c r="O155" i="1" l="1"/>
  <c r="L154" i="1"/>
  <c r="L155" i="1" l="1"/>
  <c r="O156" i="1"/>
  <c r="L156" i="1" l="1"/>
  <c r="O157" i="1"/>
  <c r="L157" i="1" l="1"/>
  <c r="O158" i="1"/>
  <c r="L158" i="1" l="1"/>
  <c r="O159" i="1"/>
  <c r="L159" i="1" l="1"/>
  <c r="O160" i="1"/>
  <c r="O161" i="1" l="1"/>
  <c r="L160" i="1"/>
  <c r="L161" i="1" l="1"/>
  <c r="O162" i="1"/>
  <c r="O163" i="1" l="1"/>
  <c r="L162" i="1"/>
  <c r="L163" i="1" l="1"/>
  <c r="O164" i="1"/>
  <c r="L164" i="1" l="1"/>
  <c r="O165" i="1"/>
  <c r="L165" i="1" l="1"/>
  <c r="O166" i="1"/>
  <c r="L166" i="1" l="1"/>
  <c r="O167" i="1"/>
  <c r="O168" i="1" l="1"/>
  <c r="L167" i="1"/>
  <c r="O169" i="1" l="1"/>
  <c r="L168" i="1"/>
  <c r="O170" i="1" l="1"/>
  <c r="L169" i="1"/>
  <c r="L170" i="1" l="1"/>
  <c r="O171" i="1"/>
  <c r="O172" i="1" l="1"/>
  <c r="L171" i="1"/>
  <c r="L172" i="1" l="1"/>
  <c r="O173" i="1"/>
  <c r="O174" i="1" l="1"/>
  <c r="L173" i="1"/>
  <c r="L174" i="1" l="1"/>
  <c r="O175" i="1"/>
  <c r="L175" i="1" l="1"/>
  <c r="O176" i="1"/>
  <c r="L176" i="1" l="1"/>
  <c r="O177" i="1"/>
  <c r="O178" i="1" l="1"/>
  <c r="L177" i="1"/>
  <c r="O179" i="1" l="1"/>
  <c r="L178" i="1"/>
  <c r="O180" i="1" l="1"/>
  <c r="L179" i="1"/>
  <c r="L180" i="1" l="1"/>
  <c r="O181" i="1"/>
  <c r="L181" i="1" l="1"/>
  <c r="Q24" i="1"/>
  <c r="D38" i="1" s="1"/>
  <c r="R23" i="1"/>
  <c r="B32" i="1" l="1"/>
  <c r="C129" i="12" s="1"/>
  <c r="C32" i="1"/>
  <c r="B33" i="1"/>
  <c r="B34" i="1"/>
  <c r="B35" i="1"/>
  <c r="B36" i="1"/>
  <c r="C133" i="12" s="1"/>
  <c r="C291" i="12" s="1"/>
  <c r="B37" i="1"/>
  <c r="C134" i="12" s="1"/>
  <c r="C292" i="12" s="1"/>
  <c r="B38" i="1"/>
  <c r="C135" i="12" s="1"/>
  <c r="C293" i="12" s="1"/>
  <c r="B39" i="1"/>
  <c r="C136" i="12" s="1"/>
  <c r="C294" i="12" s="1"/>
  <c r="B40" i="1"/>
  <c r="C137" i="12" s="1"/>
  <c r="C295" i="12" s="1"/>
  <c r="B42" i="1"/>
  <c r="C139" i="12" s="1"/>
  <c r="C297" i="12" s="1"/>
  <c r="B41" i="1"/>
  <c r="C138" i="12" s="1"/>
  <c r="C296" i="12" s="1"/>
  <c r="B43" i="1"/>
  <c r="C140" i="12" s="1"/>
  <c r="C298" i="12" s="1"/>
  <c r="B45" i="1"/>
  <c r="C142" i="12" s="1"/>
  <c r="C300" i="12" s="1"/>
  <c r="B44" i="1"/>
  <c r="C141" i="12" s="1"/>
  <c r="C299" i="12" s="1"/>
  <c r="B46" i="1"/>
  <c r="C143" i="12" s="1"/>
  <c r="C301" i="12" s="1"/>
  <c r="B47" i="1"/>
  <c r="B48" i="1"/>
  <c r="B49" i="1"/>
  <c r="B50" i="1"/>
  <c r="C147" i="12" s="1"/>
  <c r="C305" i="12" s="1"/>
  <c r="B51" i="1"/>
  <c r="B52" i="1"/>
  <c r="C149" i="12" s="1"/>
  <c r="C307" i="12" s="1"/>
  <c r="B53" i="1"/>
  <c r="C150" i="12" s="1"/>
  <c r="C308" i="12" s="1"/>
  <c r="B54" i="1"/>
  <c r="C151" i="12" s="1"/>
  <c r="C309" i="12" s="1"/>
  <c r="B55" i="1"/>
  <c r="C152" i="12" s="1"/>
  <c r="C310" i="12" s="1"/>
  <c r="B56" i="1"/>
  <c r="C153" i="12" s="1"/>
  <c r="C311" i="12" s="1"/>
  <c r="B57" i="1"/>
  <c r="C154" i="12" s="1"/>
  <c r="C312" i="12" s="1"/>
  <c r="B58" i="1"/>
  <c r="C155" i="12" s="1"/>
  <c r="C313" i="12" s="1"/>
  <c r="B59" i="1"/>
  <c r="C156" i="12" s="1"/>
  <c r="C314" i="12" s="1"/>
  <c r="B60" i="1"/>
  <c r="C157" i="12" s="1"/>
  <c r="C315" i="12" s="1"/>
  <c r="B61" i="1"/>
  <c r="C158" i="12" s="1"/>
  <c r="C316" i="12" s="1"/>
  <c r="B62" i="1"/>
  <c r="C159" i="12" s="1"/>
  <c r="C317" i="12" s="1"/>
  <c r="B63" i="1"/>
  <c r="B64" i="1"/>
  <c r="C161" i="12" s="1"/>
  <c r="C319" i="12" s="1"/>
  <c r="B65" i="1"/>
  <c r="B66" i="1"/>
  <c r="C163" i="12" s="1"/>
  <c r="C321" i="12" s="1"/>
  <c r="B67" i="1"/>
  <c r="B68" i="1"/>
  <c r="C165" i="12" s="1"/>
  <c r="C323" i="12" s="1"/>
  <c r="B69" i="1"/>
  <c r="C166" i="12" s="1"/>
  <c r="C324" i="12" s="1"/>
  <c r="B70" i="1"/>
  <c r="C167" i="12" s="1"/>
  <c r="C325" i="12" s="1"/>
  <c r="B71" i="1"/>
  <c r="C168" i="12" s="1"/>
  <c r="C326" i="12" s="1"/>
  <c r="B72" i="1"/>
  <c r="C169" i="12" s="1"/>
  <c r="C327" i="12" s="1"/>
  <c r="B73" i="1"/>
  <c r="C170" i="12" s="1"/>
  <c r="C328" i="12" s="1"/>
  <c r="B74" i="1"/>
  <c r="C171" i="12" s="1"/>
  <c r="C329" i="12" s="1"/>
  <c r="B75" i="1"/>
  <c r="C172" i="12" s="1"/>
  <c r="C330" i="12" s="1"/>
  <c r="B76" i="1"/>
  <c r="C173" i="12" s="1"/>
  <c r="C331" i="12" s="1"/>
  <c r="B77" i="1"/>
  <c r="C174" i="12" s="1"/>
  <c r="C332" i="12" s="1"/>
  <c r="B78" i="1"/>
  <c r="C175" i="12" s="1"/>
  <c r="C333" i="12" s="1"/>
  <c r="B79" i="1"/>
  <c r="B80" i="1"/>
  <c r="C177" i="12" s="1"/>
  <c r="C335" i="12" s="1"/>
  <c r="B81" i="1"/>
  <c r="B82" i="1"/>
  <c r="B83" i="1"/>
  <c r="B84" i="1"/>
  <c r="B85" i="1"/>
  <c r="B86" i="1"/>
  <c r="B87" i="1"/>
  <c r="B88" i="1"/>
  <c r="B89" i="1"/>
  <c r="B90" i="1"/>
  <c r="C130" i="12"/>
  <c r="C288" i="12" s="1"/>
  <c r="D88" i="1"/>
  <c r="C47" i="1"/>
  <c r="D144" i="12" s="1"/>
  <c r="D302" i="12" s="1"/>
  <c r="C49" i="1"/>
  <c r="D146" i="12" s="1"/>
  <c r="D304" i="12" s="1"/>
  <c r="C55" i="1"/>
  <c r="D152" i="12" s="1"/>
  <c r="D310" i="12" s="1"/>
  <c r="D55" i="1"/>
  <c r="H152" i="12" s="1"/>
  <c r="H310" i="12" s="1"/>
  <c r="C41" i="1"/>
  <c r="D138" i="12" s="1"/>
  <c r="D296" i="12" s="1"/>
  <c r="D89" i="1"/>
  <c r="D76" i="1"/>
  <c r="F173" i="12" s="1"/>
  <c r="F331" i="12" s="1"/>
  <c r="D43" i="1"/>
  <c r="G140" i="12" s="1"/>
  <c r="G298" i="12" s="1"/>
  <c r="D79" i="1"/>
  <c r="H176" i="12" s="1"/>
  <c r="H334" i="12" s="1"/>
  <c r="D57" i="1"/>
  <c r="G154" i="12" s="1"/>
  <c r="G312" i="12" s="1"/>
  <c r="C43" i="1"/>
  <c r="D140" i="12" s="1"/>
  <c r="D298" i="12" s="1"/>
  <c r="C148" i="12"/>
  <c r="C306" i="12" s="1"/>
  <c r="C59" i="1"/>
  <c r="D156" i="12" s="1"/>
  <c r="D314" i="12" s="1"/>
  <c r="C164" i="12"/>
  <c r="C322" i="12" s="1"/>
  <c r="D77" i="1"/>
  <c r="D81" i="1"/>
  <c r="F178" i="12" s="1"/>
  <c r="C44" i="1"/>
  <c r="D141" i="12" s="1"/>
  <c r="D299" i="12" s="1"/>
  <c r="D51" i="1"/>
  <c r="G148" i="12" s="1"/>
  <c r="G306" i="12" s="1"/>
  <c r="C56" i="1"/>
  <c r="D153" i="12" s="1"/>
  <c r="D311" i="12" s="1"/>
  <c r="D71" i="1"/>
  <c r="E168" i="12" s="1"/>
  <c r="E326" i="12" s="1"/>
  <c r="D68" i="1"/>
  <c r="G165" i="12" s="1"/>
  <c r="G323" i="12" s="1"/>
  <c r="D49" i="1"/>
  <c r="H146" i="12" s="1"/>
  <c r="H304" i="12" s="1"/>
  <c r="D69" i="1"/>
  <c r="F166" i="12" s="1"/>
  <c r="F324" i="12" s="1"/>
  <c r="C58" i="1"/>
  <c r="D155" i="12" s="1"/>
  <c r="D313" i="12" s="1"/>
  <c r="C45" i="1"/>
  <c r="D142" i="12" s="1"/>
  <c r="D300" i="12" s="1"/>
  <c r="C53" i="1"/>
  <c r="D150" i="12" s="1"/>
  <c r="D308" i="12" s="1"/>
  <c r="C160" i="12"/>
  <c r="C318" i="12" s="1"/>
  <c r="F135" i="12"/>
  <c r="F293" i="12" s="1"/>
  <c r="D67" i="1"/>
  <c r="H164" i="12" s="1"/>
  <c r="H322" i="12" s="1"/>
  <c r="D50" i="1"/>
  <c r="E147" i="12" s="1"/>
  <c r="E305" i="12" s="1"/>
  <c r="D72" i="1"/>
  <c r="H169" i="12" s="1"/>
  <c r="H327" i="12" s="1"/>
  <c r="D90" i="1"/>
  <c r="D48" i="1"/>
  <c r="H145" i="12" s="1"/>
  <c r="H303" i="12" s="1"/>
  <c r="C48" i="1"/>
  <c r="D145" i="12" s="1"/>
  <c r="D303" i="12" s="1"/>
  <c r="D40" i="1"/>
  <c r="G137" i="12" s="1"/>
  <c r="G295" i="12" s="1"/>
  <c r="D73" i="1"/>
  <c r="G170" i="12" s="1"/>
  <c r="G328" i="12" s="1"/>
  <c r="C33" i="1"/>
  <c r="D130" i="12" s="1"/>
  <c r="D288" i="12" s="1"/>
  <c r="C38" i="1"/>
  <c r="D135" i="12" s="1"/>
  <c r="D293" i="12" s="1"/>
  <c r="C132" i="12"/>
  <c r="C290" i="12" s="1"/>
  <c r="D54" i="1"/>
  <c r="H151" i="12" s="1"/>
  <c r="H309" i="12" s="1"/>
  <c r="D65" i="1"/>
  <c r="G162" i="12" s="1"/>
  <c r="G320" i="12" s="1"/>
  <c r="D129" i="12"/>
  <c r="C54" i="1"/>
  <c r="D151" i="12" s="1"/>
  <c r="D309" i="12" s="1"/>
  <c r="C46" i="1"/>
  <c r="D143" i="12" s="1"/>
  <c r="D301" i="12" s="1"/>
  <c r="D64" i="1"/>
  <c r="E161" i="12" s="1"/>
  <c r="E319" i="12" s="1"/>
  <c r="C39" i="1"/>
  <c r="D136" i="12" s="1"/>
  <c r="D294" i="12" s="1"/>
  <c r="D82" i="1"/>
  <c r="D47" i="1"/>
  <c r="H144" i="12" s="1"/>
  <c r="H302" i="12" s="1"/>
  <c r="C162" i="12"/>
  <c r="C320" i="12" s="1"/>
  <c r="D52" i="1"/>
  <c r="D56" i="1"/>
  <c r="D80" i="1"/>
  <c r="C35" i="1"/>
  <c r="D132" i="12" s="1"/>
  <c r="D290" i="12" s="1"/>
  <c r="C37" i="1"/>
  <c r="D134" i="12" s="1"/>
  <c r="D292" i="12" s="1"/>
  <c r="D62" i="1"/>
  <c r="D61" i="1"/>
  <c r="D60" i="1"/>
  <c r="D41" i="1"/>
  <c r="D45" i="1"/>
  <c r="C50" i="1"/>
  <c r="D147" i="12" s="1"/>
  <c r="D305" i="12" s="1"/>
  <c r="D63" i="1"/>
  <c r="D75" i="1"/>
  <c r="C178" i="12"/>
  <c r="D84" i="1"/>
  <c r="C34" i="1"/>
  <c r="D131" i="12" s="1"/>
  <c r="D289" i="12" s="1"/>
  <c r="D85" i="1"/>
  <c r="D44" i="1"/>
  <c r="C57" i="1"/>
  <c r="D154" i="12" s="1"/>
  <c r="D312" i="12" s="1"/>
  <c r="D58" i="1"/>
  <c r="D66" i="1"/>
  <c r="D70" i="1"/>
  <c r="D74" i="1"/>
  <c r="D78" i="1"/>
  <c r="C36" i="1"/>
  <c r="D133" i="12" s="1"/>
  <c r="D291" i="12" s="1"/>
  <c r="C40" i="1"/>
  <c r="D137" i="12" s="1"/>
  <c r="D295" i="12" s="1"/>
  <c r="D86" i="1"/>
  <c r="D42" i="1"/>
  <c r="D46" i="1"/>
  <c r="C145" i="12"/>
  <c r="C303" i="12" s="1"/>
  <c r="C52" i="1"/>
  <c r="D149" i="12" s="1"/>
  <c r="D307" i="12" s="1"/>
  <c r="D53" i="1"/>
  <c r="C176" i="12"/>
  <c r="C334" i="12" s="1"/>
  <c r="D87" i="1"/>
  <c r="D39" i="1"/>
  <c r="C144" i="12"/>
  <c r="C302" i="12" s="1"/>
  <c r="C51" i="1"/>
  <c r="D148" i="12" s="1"/>
  <c r="D306" i="12" s="1"/>
  <c r="D59" i="1"/>
  <c r="D83" i="1"/>
  <c r="C42" i="1"/>
  <c r="D139" i="12" s="1"/>
  <c r="D297" i="12" s="1"/>
  <c r="C131" i="12"/>
  <c r="C289" i="12" s="1"/>
  <c r="C146" i="12"/>
  <c r="C304" i="12" s="1"/>
  <c r="E154" i="12" l="1"/>
  <c r="E312" i="12" s="1"/>
  <c r="F154" i="12"/>
  <c r="F312" i="12" s="1"/>
  <c r="H154" i="12"/>
  <c r="H312" i="12" s="1"/>
  <c r="F148" i="12"/>
  <c r="F306" i="12" s="1"/>
  <c r="C15" i="12"/>
  <c r="B30" i="18" s="1"/>
  <c r="D287" i="12"/>
  <c r="D285" i="12" s="1"/>
  <c r="D20" i="12" s="1"/>
  <c r="D15" i="12"/>
  <c r="B31" i="18" s="1"/>
  <c r="F164" i="12"/>
  <c r="F322" i="12" s="1"/>
  <c r="F152" i="12"/>
  <c r="F310" i="12" s="1"/>
  <c r="E152" i="12"/>
  <c r="E310" i="12" s="1"/>
  <c r="G152" i="12"/>
  <c r="G310" i="12" s="1"/>
  <c r="F147" i="12"/>
  <c r="F305" i="12" s="1"/>
  <c r="H147" i="12"/>
  <c r="H305" i="12" s="1"/>
  <c r="G147" i="12"/>
  <c r="G305" i="12" s="1"/>
  <c r="E151" i="12"/>
  <c r="E309" i="12" s="1"/>
  <c r="F161" i="12"/>
  <c r="F319" i="12" s="1"/>
  <c r="H140" i="12"/>
  <c r="H298" i="12" s="1"/>
  <c r="F170" i="12"/>
  <c r="F328" i="12" s="1"/>
  <c r="E170" i="12"/>
  <c r="E328" i="12" s="1"/>
  <c r="F140" i="12"/>
  <c r="F298" i="12" s="1"/>
  <c r="E140" i="12"/>
  <c r="E298" i="12" s="1"/>
  <c r="F137" i="12"/>
  <c r="F295" i="12" s="1"/>
  <c r="E173" i="12"/>
  <c r="E331" i="12" s="1"/>
  <c r="H170" i="12"/>
  <c r="H328" i="12" s="1"/>
  <c r="G173" i="12"/>
  <c r="G331" i="12" s="1"/>
  <c r="E176" i="12"/>
  <c r="E334" i="12" s="1"/>
  <c r="H173" i="12"/>
  <c r="H331" i="12" s="1"/>
  <c r="G168" i="12"/>
  <c r="G326" i="12" s="1"/>
  <c r="E135" i="12"/>
  <c r="E293" i="12" s="1"/>
  <c r="G135" i="12"/>
  <c r="G293" i="12" s="1"/>
  <c r="F144" i="12"/>
  <c r="F302" i="12" s="1"/>
  <c r="E146" i="12"/>
  <c r="E304" i="12" s="1"/>
  <c r="H165" i="12"/>
  <c r="H323" i="12" s="1"/>
  <c r="H135" i="12"/>
  <c r="H293" i="12" s="1"/>
  <c r="F162" i="12"/>
  <c r="F320" i="12" s="1"/>
  <c r="H166" i="12"/>
  <c r="H324" i="12" s="1"/>
  <c r="H162" i="12"/>
  <c r="H320" i="12" s="1"/>
  <c r="F145" i="12"/>
  <c r="F303" i="12" s="1"/>
  <c r="E145" i="12"/>
  <c r="E303" i="12" s="1"/>
  <c r="F169" i="12"/>
  <c r="F327" i="12" s="1"/>
  <c r="G151" i="12"/>
  <c r="G309" i="12" s="1"/>
  <c r="F151" i="12"/>
  <c r="F309" i="12" s="1"/>
  <c r="G174" i="12"/>
  <c r="G332" i="12" s="1"/>
  <c r="F174" i="12"/>
  <c r="F332" i="12" s="1"/>
  <c r="H168" i="12"/>
  <c r="H326" i="12" s="1"/>
  <c r="F168" i="12"/>
  <c r="F326" i="12" s="1"/>
  <c r="H174" i="12"/>
  <c r="H332" i="12" s="1"/>
  <c r="G146" i="12"/>
  <c r="G304" i="12" s="1"/>
  <c r="F146" i="12"/>
  <c r="F304" i="12" s="1"/>
  <c r="G169" i="12"/>
  <c r="G327" i="12" s="1"/>
  <c r="E169" i="12"/>
  <c r="E327" i="12" s="1"/>
  <c r="G145" i="12"/>
  <c r="G303" i="12" s="1"/>
  <c r="E174" i="12"/>
  <c r="E332" i="12" s="1"/>
  <c r="E148" i="12"/>
  <c r="E306" i="12" s="1"/>
  <c r="H148" i="12"/>
  <c r="H306" i="12" s="1"/>
  <c r="E137" i="12"/>
  <c r="E295" i="12" s="1"/>
  <c r="H137" i="12"/>
  <c r="H295" i="12" s="1"/>
  <c r="H178" i="12"/>
  <c r="G178" i="12"/>
  <c r="E165" i="12"/>
  <c r="E323" i="12" s="1"/>
  <c r="G164" i="12"/>
  <c r="G322" i="12" s="1"/>
  <c r="E164" i="12"/>
  <c r="E322" i="12" s="1"/>
  <c r="F165" i="12"/>
  <c r="F323" i="12" s="1"/>
  <c r="G144" i="12"/>
  <c r="G302" i="12" s="1"/>
  <c r="E144" i="12"/>
  <c r="E302" i="12" s="1"/>
  <c r="E162" i="12"/>
  <c r="E320" i="12" s="1"/>
  <c r="F176" i="12"/>
  <c r="F334" i="12" s="1"/>
  <c r="G176" i="12"/>
  <c r="G334" i="12" s="1"/>
  <c r="E178" i="12"/>
  <c r="G166" i="12"/>
  <c r="G324" i="12" s="1"/>
  <c r="E166" i="12"/>
  <c r="E324" i="12" s="1"/>
  <c r="G161" i="12"/>
  <c r="G319" i="12" s="1"/>
  <c r="H161" i="12"/>
  <c r="H319" i="12" s="1"/>
  <c r="F172" i="12"/>
  <c r="F330" i="12" s="1"/>
  <c r="H172" i="12"/>
  <c r="H330" i="12" s="1"/>
  <c r="E172" i="12"/>
  <c r="E330" i="12" s="1"/>
  <c r="G172" i="12"/>
  <c r="G330" i="12" s="1"/>
  <c r="G153" i="12"/>
  <c r="G311" i="12" s="1"/>
  <c r="H153" i="12"/>
  <c r="H311" i="12" s="1"/>
  <c r="F153" i="12"/>
  <c r="F311" i="12" s="1"/>
  <c r="E153" i="12"/>
  <c r="E311" i="12" s="1"/>
  <c r="F149" i="12"/>
  <c r="F307" i="12" s="1"/>
  <c r="E149" i="12"/>
  <c r="E307" i="12" s="1"/>
  <c r="H149" i="12"/>
  <c r="H307" i="12" s="1"/>
  <c r="G149" i="12"/>
  <c r="G307" i="12" s="1"/>
  <c r="E163" i="12"/>
  <c r="E321" i="12" s="1"/>
  <c r="G163" i="12"/>
  <c r="G321" i="12" s="1"/>
  <c r="H163" i="12"/>
  <c r="H321" i="12" s="1"/>
  <c r="F163" i="12"/>
  <c r="F321" i="12" s="1"/>
  <c r="F157" i="12"/>
  <c r="F315" i="12" s="1"/>
  <c r="E157" i="12"/>
  <c r="E315" i="12" s="1"/>
  <c r="H157" i="12"/>
  <c r="H315" i="12" s="1"/>
  <c r="G157" i="12"/>
  <c r="G315" i="12" s="1"/>
  <c r="H150" i="12"/>
  <c r="H308" i="12" s="1"/>
  <c r="E150" i="12"/>
  <c r="E308" i="12" s="1"/>
  <c r="F150" i="12"/>
  <c r="F308" i="12" s="1"/>
  <c r="G150" i="12"/>
  <c r="G308" i="12" s="1"/>
  <c r="H160" i="12"/>
  <c r="H318" i="12" s="1"/>
  <c r="G160" i="12"/>
  <c r="G318" i="12" s="1"/>
  <c r="F160" i="12"/>
  <c r="F318" i="12" s="1"/>
  <c r="E160" i="12"/>
  <c r="E318" i="12" s="1"/>
  <c r="G158" i="12"/>
  <c r="G316" i="12" s="1"/>
  <c r="H158" i="12"/>
  <c r="H316" i="12" s="1"/>
  <c r="F158" i="12"/>
  <c r="F316" i="12" s="1"/>
  <c r="E158" i="12"/>
  <c r="E316" i="12" s="1"/>
  <c r="G171" i="12"/>
  <c r="G329" i="12" s="1"/>
  <c r="E171" i="12"/>
  <c r="E329" i="12" s="1"/>
  <c r="H171" i="12"/>
  <c r="H329" i="12" s="1"/>
  <c r="F171" i="12"/>
  <c r="F329" i="12" s="1"/>
  <c r="C287" i="12"/>
  <c r="C285" i="12" s="1"/>
  <c r="C20" i="12" s="1"/>
  <c r="G143" i="12"/>
  <c r="G301" i="12" s="1"/>
  <c r="F143" i="12"/>
  <c r="F301" i="12" s="1"/>
  <c r="H143" i="12"/>
  <c r="H301" i="12" s="1"/>
  <c r="E143" i="12"/>
  <c r="E301" i="12" s="1"/>
  <c r="G155" i="12"/>
  <c r="G313" i="12" s="1"/>
  <c r="E155" i="12"/>
  <c r="E313" i="12" s="1"/>
  <c r="H155" i="12"/>
  <c r="H313" i="12" s="1"/>
  <c r="F155" i="12"/>
  <c r="F313" i="12" s="1"/>
  <c r="E167" i="12"/>
  <c r="E325" i="12" s="1"/>
  <c r="H167" i="12"/>
  <c r="H325" i="12" s="1"/>
  <c r="G167" i="12"/>
  <c r="G325" i="12" s="1"/>
  <c r="F167" i="12"/>
  <c r="F325" i="12" s="1"/>
  <c r="H177" i="12"/>
  <c r="H335" i="12" s="1"/>
  <c r="G177" i="12"/>
  <c r="G335" i="12" s="1"/>
  <c r="F177" i="12"/>
  <c r="F335" i="12" s="1"/>
  <c r="E177" i="12"/>
  <c r="E335" i="12" s="1"/>
  <c r="E156" i="12"/>
  <c r="E314" i="12" s="1"/>
  <c r="G156" i="12"/>
  <c r="G314" i="12" s="1"/>
  <c r="H156" i="12"/>
  <c r="H314" i="12" s="1"/>
  <c r="F156" i="12"/>
  <c r="F314" i="12" s="1"/>
  <c r="E138" i="12"/>
  <c r="E296" i="12" s="1"/>
  <c r="F138" i="12"/>
  <c r="F296" i="12" s="1"/>
  <c r="H138" i="12"/>
  <c r="H296" i="12" s="1"/>
  <c r="G138" i="12"/>
  <c r="G296" i="12" s="1"/>
  <c r="G139" i="12"/>
  <c r="G297" i="12" s="1"/>
  <c r="F139" i="12"/>
  <c r="F297" i="12" s="1"/>
  <c r="H139" i="12"/>
  <c r="H297" i="12" s="1"/>
  <c r="E139" i="12"/>
  <c r="E297" i="12" s="1"/>
  <c r="E141" i="12"/>
  <c r="E299" i="12" s="1"/>
  <c r="F141" i="12"/>
  <c r="F299" i="12" s="1"/>
  <c r="H141" i="12"/>
  <c r="H299" i="12" s="1"/>
  <c r="G141" i="12"/>
  <c r="G299" i="12" s="1"/>
  <c r="F136" i="12"/>
  <c r="E136" i="12"/>
  <c r="E294" i="12" s="1"/>
  <c r="H136" i="12"/>
  <c r="H294" i="12" s="1"/>
  <c r="G136" i="12"/>
  <c r="G294" i="12" s="1"/>
  <c r="H175" i="12"/>
  <c r="H333" i="12" s="1"/>
  <c r="G175" i="12"/>
  <c r="G333" i="12" s="1"/>
  <c r="F175" i="12"/>
  <c r="F333" i="12" s="1"/>
  <c r="E175" i="12"/>
  <c r="E333" i="12" s="1"/>
  <c r="F142" i="12"/>
  <c r="F300" i="12" s="1"/>
  <c r="E142" i="12"/>
  <c r="E300" i="12" s="1"/>
  <c r="H142" i="12"/>
  <c r="H300" i="12" s="1"/>
  <c r="G142" i="12"/>
  <c r="G300" i="12" s="1"/>
  <c r="F159" i="12"/>
  <c r="F317" i="12" s="1"/>
  <c r="H159" i="12"/>
  <c r="H317" i="12" s="1"/>
  <c r="E159" i="12"/>
  <c r="E317" i="12" s="1"/>
  <c r="G159" i="12"/>
  <c r="G317" i="12" s="1"/>
  <c r="G285" i="12" l="1"/>
  <c r="G20" i="12" s="1"/>
  <c r="H285" i="12"/>
  <c r="H20" i="12" s="1"/>
  <c r="H15" i="12"/>
  <c r="H19" i="12" s="1"/>
  <c r="G15" i="12"/>
  <c r="B28" i="18" s="1"/>
  <c r="F294" i="12"/>
  <c r="F285" i="12" s="1"/>
  <c r="F20" i="12" s="1"/>
  <c r="F15" i="12"/>
  <c r="B27" i="18" s="1"/>
  <c r="C19" i="12"/>
  <c r="C18" i="12"/>
  <c r="E285" i="12"/>
  <c r="E20" i="12" s="1"/>
  <c r="E15" i="12"/>
  <c r="B26" i="18" s="1"/>
  <c r="D18" i="12"/>
  <c r="D19" i="12"/>
  <c r="H18" i="12" l="1"/>
  <c r="G19" i="12"/>
  <c r="G18" i="12"/>
  <c r="E18" i="12"/>
  <c r="E19" i="12"/>
  <c r="F18" i="12"/>
  <c r="F19" i="12"/>
  <c r="B33" i="18" l="1"/>
  <c r="B34" i="18" l="1"/>
  <c r="B37" i="18"/>
  <c r="B38" i="18"/>
  <c r="B35" i="18"/>
  <c r="G35" i="18" l="1"/>
  <c r="C23" i="18"/>
  <c r="C35" i="18" s="1"/>
  <c r="C34" i="18" l="1"/>
  <c r="C33" i="18"/>
  <c r="C37" i="18"/>
  <c r="C38" i="18"/>
</calcChain>
</file>

<file path=xl/sharedStrings.xml><?xml version="1.0" encoding="utf-8"?>
<sst xmlns="http://schemas.openxmlformats.org/spreadsheetml/2006/main" count="590" uniqueCount="330">
  <si>
    <t>Calculations</t>
  </si>
  <si>
    <t xml:space="preserve">Log grades and volumes (from Manley, 2021) </t>
  </si>
  <si>
    <t>Log volume and price calculation</t>
  </si>
  <si>
    <t>Returns</t>
  </si>
  <si>
    <t>Transport costs</t>
  </si>
  <si>
    <t>Harvest costs</t>
  </si>
  <si>
    <t>Roading, engineering</t>
  </si>
  <si>
    <t>Roading to public road</t>
  </si>
  <si>
    <t>Management cost</t>
  </si>
  <si>
    <t>Region</t>
  </si>
  <si>
    <t>A</t>
  </si>
  <si>
    <t>KS</t>
  </si>
  <si>
    <t>KI</t>
  </si>
  <si>
    <t>KIS</t>
  </si>
  <si>
    <t>K grades (calculated)</t>
  </si>
  <si>
    <t>S1/S2</t>
  </si>
  <si>
    <t>S3</t>
  </si>
  <si>
    <t>L</t>
  </si>
  <si>
    <t>Pulp</t>
  </si>
  <si>
    <t>TRV</t>
  </si>
  <si>
    <t>Mean</t>
  </si>
  <si>
    <t>25 percentile</t>
  </si>
  <si>
    <t>75 percentile</t>
  </si>
  <si>
    <t>ONI</t>
  </si>
  <si>
    <t>Auckland</t>
  </si>
  <si>
    <t>CNI</t>
  </si>
  <si>
    <t>Waikato/Taupo</t>
  </si>
  <si>
    <t>Bay of Plenty</t>
  </si>
  <si>
    <t>ECHB</t>
  </si>
  <si>
    <t>Gisborne</t>
  </si>
  <si>
    <t>Hawkes Bay/SNI</t>
  </si>
  <si>
    <t>SI</t>
  </si>
  <si>
    <t>Nelson/Marlborough</t>
  </si>
  <si>
    <t>Canterbury/WC</t>
  </si>
  <si>
    <t>Otago</t>
  </si>
  <si>
    <t>Southland</t>
  </si>
  <si>
    <t>Regional attributes (Manley, 2021)</t>
  </si>
  <si>
    <t>Results</t>
  </si>
  <si>
    <t>Assumptions</t>
  </si>
  <si>
    <t xml:space="preserve">Region </t>
  </si>
  <si>
    <t>Range</t>
  </si>
  <si>
    <t>Site index (m)</t>
  </si>
  <si>
    <t>300 Index (m3/ha/year)</t>
  </si>
  <si>
    <t>Slope (degrees)</t>
  </si>
  <si>
    <t>Dist to public road (km)</t>
  </si>
  <si>
    <t>Dist to port (km)</t>
  </si>
  <si>
    <t>Site index adjustment</t>
  </si>
  <si>
    <t>Average log price over 12 quarters (https://www.mpi.govt.nz/forestry/forest-industry-and-workforce/forestry-wood-processing-data/historic-indicative-new-zealand-radiata-pine-log-prices/)</t>
  </si>
  <si>
    <t>Percentile</t>
  </si>
  <si>
    <t>Conversion rate to tonnes</t>
  </si>
  <si>
    <t>Roading, engineering per hectare</t>
  </si>
  <si>
    <t>Roading per km</t>
  </si>
  <si>
    <t>Slope</t>
  </si>
  <si>
    <t>Management costs (per tonne)</t>
  </si>
  <si>
    <t>Ground based constants</t>
  </si>
  <si>
    <t>Yarder based constants</t>
  </si>
  <si>
    <t>P1</t>
  </si>
  <si>
    <t>Median</t>
  </si>
  <si>
    <t>P2</t>
  </si>
  <si>
    <t>S1</t>
  </si>
  <si>
    <t>S2</t>
  </si>
  <si>
    <t>K grades</t>
  </si>
  <si>
    <t>Harvest cost model</t>
  </si>
  <si>
    <t>Ground based  logging rates</t>
  </si>
  <si>
    <t>Yarder logging rates</t>
  </si>
  <si>
    <t>Parameter</t>
  </si>
  <si>
    <t>Ground based</t>
  </si>
  <si>
    <t>Yarder</t>
  </si>
  <si>
    <t>Log grades and volumes adjusted for harvest age (calculation)</t>
  </si>
  <si>
    <t>Constant</t>
  </si>
  <si>
    <t>Piece size (three year average)</t>
  </si>
  <si>
    <t>Constant (w piece size and sort # adjustment)</t>
  </si>
  <si>
    <t>Constant (w piece size adjustment)</t>
  </si>
  <si>
    <t>Sort number (three year average)</t>
  </si>
  <si>
    <t>Forwarder</t>
  </si>
  <si>
    <t>Tower large</t>
  </si>
  <si>
    <t>Chainsaw</t>
  </si>
  <si>
    <t>Tower small</t>
  </si>
  <si>
    <t>Easy</t>
  </si>
  <si>
    <t>Hard</t>
  </si>
  <si>
    <t>Vol/ha</t>
  </si>
  <si>
    <t>Hard (noted as windthrow so assume 0)</t>
  </si>
  <si>
    <t>Sort #</t>
  </si>
  <si>
    <t>Piece size</t>
  </si>
  <si>
    <t>Transport costs, MPI 2024 (simplified rates to avoid market sensitivities)</t>
  </si>
  <si>
    <t>Lead km</t>
  </si>
  <si>
    <t>Indicative
2025 (typical)
Rate $/T</t>
  </si>
  <si>
    <t>Indicative
2025 (high)
Rate $/T</t>
  </si>
  <si>
    <t>Ground based logging rates working</t>
  </si>
  <si>
    <t>Yarder logging rates working</t>
  </si>
  <si>
    <t>Regional costs</t>
  </si>
  <si>
    <t>Regional price adjustment</t>
  </si>
  <si>
    <t>Regional price by grade (Manley, 2021)</t>
  </si>
  <si>
    <t xml:space="preserve">A </t>
  </si>
  <si>
    <t>L350</t>
  </si>
  <si>
    <t>Pulp/Chip</t>
  </si>
  <si>
    <t>Average volumes by grade</t>
  </si>
  <si>
    <t>Tables used in model</t>
  </si>
  <si>
    <t>Native yield tables</t>
  </si>
  <si>
    <t xml:space="preserve">Radiata pine </t>
  </si>
  <si>
    <t>Other exotic softwoods</t>
  </si>
  <si>
    <t>Douglas fir</t>
  </si>
  <si>
    <t>Radiata pine default tables</t>
  </si>
  <si>
    <t>Age</t>
  </si>
  <si>
    <t>Post-1989 exotic</t>
  </si>
  <si>
    <t>Post-1989 native</t>
  </si>
  <si>
    <t>Native default table</t>
  </si>
  <si>
    <t xml:space="preserve">Native area weighted FMA </t>
  </si>
  <si>
    <t>Post-1989 natural (LUCAS)</t>
  </si>
  <si>
    <t>Radiata pine area weighted FMA</t>
  </si>
  <si>
    <t>Ex s/w FMA</t>
  </si>
  <si>
    <t>Ex s/w default</t>
  </si>
  <si>
    <t>Ak</t>
  </si>
  <si>
    <t>W/T</t>
  </si>
  <si>
    <t>BOP</t>
  </si>
  <si>
    <t>Gis</t>
  </si>
  <si>
    <t>H/SNI</t>
  </si>
  <si>
    <t>N/M</t>
  </si>
  <si>
    <t>C/W</t>
  </si>
  <si>
    <t>O</t>
  </si>
  <si>
    <t>S</t>
  </si>
  <si>
    <t>Avg PST</t>
  </si>
  <si>
    <t>Key</t>
  </si>
  <si>
    <t>Canterbury/West Coast</t>
  </si>
  <si>
    <t>Hawke’s Bay/Southern North Island</t>
  </si>
  <si>
    <t>FMA</t>
  </si>
  <si>
    <t>Field measurement approach</t>
  </si>
  <si>
    <t>Default</t>
  </si>
  <si>
    <t>ETS default table</t>
  </si>
  <si>
    <t>Ex s/w</t>
  </si>
  <si>
    <t>LUCAS</t>
  </si>
  <si>
    <t>Ministry for the Environment's Land Use Carbon Analysis System</t>
  </si>
  <si>
    <t>Macroeconomic simple CBA of afforestation proposal</t>
  </si>
  <si>
    <t>Data inputs</t>
  </si>
  <si>
    <t>Metric</t>
  </si>
  <si>
    <t>Source</t>
  </si>
  <si>
    <t>Comment</t>
  </si>
  <si>
    <t>Unit</t>
  </si>
  <si>
    <t>Area of land</t>
  </si>
  <si>
    <t>ha</t>
  </si>
  <si>
    <t>Raw data inputs</t>
  </si>
  <si>
    <t>Native forest est costs</t>
  </si>
  <si>
    <t>1BT fund amount ($4k), CCC advice ($7k), Aoteroa Circle report ($13.75k), DOC pers comms ($20k)</t>
  </si>
  <si>
    <t>Range is wide and site specific, more analysis could increase certainty</t>
  </si>
  <si>
    <t>$/ha</t>
  </si>
  <si>
    <t>Harvest returns</t>
  </si>
  <si>
    <t>Land market value (3 months ending)</t>
  </si>
  <si>
    <t>Establishment costs exotic (including releasing)</t>
  </si>
  <si>
    <t>Stumpage values across New Zealand, MPI 2021</t>
  </si>
  <si>
    <t>Low</t>
  </si>
  <si>
    <t>Med</t>
  </si>
  <si>
    <t>High</t>
  </si>
  <si>
    <t>Average</t>
  </si>
  <si>
    <t>Opportunity cost (following methodolgy in Socio-economic impacts of large-scale afforestation on rural communities in the Wairoa District, Beef+Lamb 2019)</t>
  </si>
  <si>
    <t>Beef + Lamb and Dairy NZ</t>
  </si>
  <si>
    <t>Calculated as estimated EBIT (minus interest from B+L data)</t>
  </si>
  <si>
    <t>Hard hill</t>
  </si>
  <si>
    <t>Opportunity cost  term (years)</t>
  </si>
  <si>
    <t>Land market value</t>
  </si>
  <si>
    <t>Derived from REINZ, 2024. Grazing farms sales for three months ended August 2024 (Auckland and BOP removed as high cost outliers and weight average of sales in remaining regions)</t>
  </si>
  <si>
    <t>Native forest establishment costs</t>
  </si>
  <si>
    <t>Harvest revenue</t>
  </si>
  <si>
    <t>Calculated</t>
  </si>
  <si>
    <t>Very High</t>
  </si>
  <si>
    <t>Harvest revenue discount rate</t>
  </si>
  <si>
    <t>Manley, 2024. Discount rates used for forest valuation – results of 2023 survey, NZ Journal of Forestry (medium/large forests est used)</t>
  </si>
  <si>
    <t>Discount rate for carbon (exotic)</t>
  </si>
  <si>
    <t>Manley, 2024. Discount rates used for forest valuation – results of 2023 survey, NZ Journal of Forestry (medium/large forests est used) note high variation in 2024 survey.</t>
  </si>
  <si>
    <t>Discount rate for carbon (native)</t>
  </si>
  <si>
    <t>Weaver, 2023. Carbon economics of natural regeneration at scale, NZ Journal of Forestry</t>
  </si>
  <si>
    <t>Opportunity cost EBIT</t>
  </si>
  <si>
    <t>North Is region</t>
  </si>
  <si>
    <t>Discount rate for opportunity cost</t>
  </si>
  <si>
    <t xml:space="preserve">Socio-economic impacts of large-scale afforestation on rural communities in the Wairoa District (BakerAg, 2019) </t>
  </si>
  <si>
    <t>Hill country</t>
  </si>
  <si>
    <t>Finishing</t>
  </si>
  <si>
    <t>Dairy bottom quartile</t>
  </si>
  <si>
    <t>Dairy lower middle quartile</t>
  </si>
  <si>
    <t>East</t>
  </si>
  <si>
    <t>Pest control /ha</t>
  </si>
  <si>
    <t>Aotearoa Circle report, first five years</t>
  </si>
  <si>
    <t>Gross farm revenue (https://beeflambnz.com/industry-data/farm-data-and-industry-production/sheep-beef-farm-survey)</t>
  </si>
  <si>
    <t>Thinning /ha</t>
  </si>
  <si>
    <t>Total farm expenditure (minus interest for EBIT)</t>
  </si>
  <si>
    <t>Harvest revenue calaculations</t>
  </si>
  <si>
    <t>Opportunity cost calaculations</t>
  </si>
  <si>
    <t>Rates, insurance, annual ETS costs - native first 6 years</t>
  </si>
  <si>
    <t>Inflated to present day from Socio-economic impacts of large-scale afforestation on rural communities in the Wairoa District (BakerAg, 2019) and ETS annual costs (https://www.mpi.govt.nz/forestry/forestry-in-the-emissions-trading-scheme/ets-forms-fees-and-policies/service-fees-for-forestry-in-the-ets/)</t>
  </si>
  <si>
    <t>Harvest returns with or w/o inflation</t>
  </si>
  <si>
    <t>NPV</t>
  </si>
  <si>
    <t>Rates, insurance, annual ETS costs</t>
  </si>
  <si>
    <t>First thinning (year)</t>
  </si>
  <si>
    <t>Second thinning (year)</t>
  </si>
  <si>
    <t>ETS application fees (per hecatre averaged)</t>
  </si>
  <si>
    <t>Benefits</t>
  </si>
  <si>
    <t xml:space="preserve">Averaging age </t>
  </si>
  <si>
    <t>1 ha to less than 100 ha</t>
  </si>
  <si>
    <t>From 100 ha</t>
  </si>
  <si>
    <t>Real/nominal discount rate</t>
  </si>
  <si>
    <t>Costs</t>
  </si>
  <si>
    <t>Long-term inflation rate</t>
  </si>
  <si>
    <t>RBNZ</t>
  </si>
  <si>
    <t>Yield table (planted forest)</t>
  </si>
  <si>
    <t>Rates, insurance, etc</t>
  </si>
  <si>
    <t>ETS application fees (per hecatre averaged) (planted/native)</t>
  </si>
  <si>
    <t>Land rental calculations</t>
  </si>
  <si>
    <t>Yield table (native forest)</t>
  </si>
  <si>
    <t>Rates, insurance, w/o annual ETS costs</t>
  </si>
  <si>
    <t>Real or nominal discount rates</t>
  </si>
  <si>
    <t>Nominal</t>
  </si>
  <si>
    <t>Land rental (2.5% and 4% of land market value (LMV))</t>
  </si>
  <si>
    <t>No</t>
  </si>
  <si>
    <t>Region for harvest returns and/or default table</t>
  </si>
  <si>
    <t>Harvest age</t>
  </si>
  <si>
    <t>Cost and abatement profiles</t>
  </si>
  <si>
    <t>Year</t>
  </si>
  <si>
    <t>Costs exotic permanent</t>
  </si>
  <si>
    <t>Costs exotic rotation</t>
  </si>
  <si>
    <t>Costs native</t>
  </si>
  <si>
    <t xml:space="preserve">Annual unit price </t>
  </si>
  <si>
    <t>$</t>
  </si>
  <si>
    <t>tonnes CO2-e</t>
  </si>
  <si>
    <t>No ETS scenario</t>
  </si>
  <si>
    <t>Scenario ERP</t>
  </si>
  <si>
    <t>Scenario $50</t>
  </si>
  <si>
    <t>Scenario $100</t>
  </si>
  <si>
    <t>Inflation calculator</t>
  </si>
  <si>
    <t>Discount rate (opportunity cost)</t>
  </si>
  <si>
    <t>Total Farm Expenditure</t>
  </si>
  <si>
    <t>Dropdown lists</t>
  </si>
  <si>
    <t>Opportunity cost farm type</t>
  </si>
  <si>
    <t>Yield tables</t>
  </si>
  <si>
    <t>Opportunity cost</t>
  </si>
  <si>
    <t>Land cost</t>
  </si>
  <si>
    <t>Opportunity cost (farm returns)</t>
  </si>
  <si>
    <t>Not included</t>
  </si>
  <si>
    <t>Harvest return value</t>
  </si>
  <si>
    <t>Mid</t>
  </si>
  <si>
    <t>Yes</t>
  </si>
  <si>
    <t>Discount rate</t>
  </si>
  <si>
    <t>Real</t>
  </si>
  <si>
    <t>LMV</t>
  </si>
  <si>
    <t>Medium</t>
  </si>
  <si>
    <t>Farm Profit before Tax</t>
  </si>
  <si>
    <t>Macroeconomic simple CBA of afforestation, investment</t>
  </si>
  <si>
    <t>Scenario</t>
  </si>
  <si>
    <t>Exotic permanent</t>
  </si>
  <si>
    <t>Exotic averaging (with harvest)</t>
  </si>
  <si>
    <t>Natural forest low cost (1BT funding)</t>
  </si>
  <si>
    <t>Natural forest mid cost (CCC low rate)</t>
  </si>
  <si>
    <t>Natural forest high cost (Aoteroa Circle)</t>
  </si>
  <si>
    <t>Natural forest high cost (DOC pers comms)</t>
  </si>
  <si>
    <t>Establishment costs</t>
  </si>
  <si>
    <t>/ha</t>
  </si>
  <si>
    <t>Inputs</t>
  </si>
  <si>
    <t>Discount rate (carbon)</t>
  </si>
  <si>
    <t>%</t>
  </si>
  <si>
    <t>Discount rate (harvest)</t>
  </si>
  <si>
    <t>Area</t>
  </si>
  <si>
    <t>Carbon price</t>
  </si>
  <si>
    <t>$/t CO2-e</t>
  </si>
  <si>
    <t>Variable costs</t>
  </si>
  <si>
    <t>Opportunity cost/land costs included</t>
  </si>
  <si>
    <t>Yes/no</t>
  </si>
  <si>
    <t>Harvest revenue included</t>
  </si>
  <si>
    <t>Grant</t>
  </si>
  <si>
    <t>Macro multiplier (investment or economy)</t>
  </si>
  <si>
    <t>Harvest revenue (net of harvest costs)</t>
  </si>
  <si>
    <t>Outputs</t>
  </si>
  <si>
    <t>Term (150 max)</t>
  </si>
  <si>
    <t>Opportuntity cost (NPV EBIT)</t>
  </si>
  <si>
    <t>NPV (EBIT variable term)</t>
  </si>
  <si>
    <t>CBR (variable term)</t>
  </si>
  <si>
    <t>IRR (fixed 50 year term or one rotation)</t>
  </si>
  <si>
    <t>Working</t>
  </si>
  <si>
    <t>Discount factor carbon</t>
  </si>
  <si>
    <t xml:space="preserve">Discount factor harvest </t>
  </si>
  <si>
    <t>Benefits carbon</t>
  </si>
  <si>
    <t>Note, year lag between sequestration, emissions return, unit allocation and sale of units (annual emissions returns assumed)</t>
  </si>
  <si>
    <t>Benefits harvest</t>
  </si>
  <si>
    <t>IRR calc</t>
  </si>
  <si>
    <t>Economic analysis</t>
  </si>
  <si>
    <t>Summary</t>
  </si>
  <si>
    <t>Area of forest (hectares)</t>
  </si>
  <si>
    <t>Total area</t>
  </si>
  <si>
    <t>Production (outside ETS)</t>
  </si>
  <si>
    <t>Perm exotic (outside ETS)</t>
  </si>
  <si>
    <t>Scenario ERP price path</t>
  </si>
  <si>
    <t>Scenario 2 (no ETS)</t>
  </si>
  <si>
    <t>Perm exotic (inside ETS)</t>
  </si>
  <si>
    <t>Natives (outside ETS)</t>
  </si>
  <si>
    <t>Percent exotic</t>
  </si>
  <si>
    <t>Emissions (Mt CO2)</t>
  </si>
  <si>
    <t>EB1: 2022 - 2025</t>
  </si>
  <si>
    <t>EB2: 2026-2030</t>
  </si>
  <si>
    <t>0.4*</t>
  </si>
  <si>
    <t>EB3: 2031-2035</t>
  </si>
  <si>
    <t>EB4: 2036-2040</t>
  </si>
  <si>
    <t>ETS return funding new afforestation calculation</t>
  </si>
  <si>
    <t>Yield table</t>
  </si>
  <si>
    <t>IRR</t>
  </si>
  <si>
    <t>Native afforestation costs</t>
  </si>
  <si>
    <t>Low cost native afforestation</t>
  </si>
  <si>
    <t>Mid cost native afforestation</t>
  </si>
  <si>
    <t>High cost</t>
  </si>
  <si>
    <t>Exotic afforestation cost</t>
  </si>
  <si>
    <t>Perm exotic</t>
  </si>
  <si>
    <t>Production</t>
  </si>
  <si>
    <t>Native afforestation funding proportion from returns above discount rate in ETS (assuming these will be re-invested in afforestation)</t>
  </si>
  <si>
    <t>Area outside ETS</t>
  </si>
  <si>
    <t>Forests in ETS</t>
  </si>
  <si>
    <t>Native</t>
  </si>
  <si>
    <t>High cost native afforestation</t>
  </si>
  <si>
    <t>Perm</t>
  </si>
  <si>
    <t>Exotic afforestation funding proportion</t>
  </si>
  <si>
    <t>Production exotic</t>
  </si>
  <si>
    <t>Permanent exotic</t>
  </si>
  <si>
    <t>Scenario ERP planting profile</t>
  </si>
  <si>
    <t>Forest type</t>
  </si>
  <si>
    <t>Outside ETS</t>
  </si>
  <si>
    <t>Inside ETS</t>
  </si>
  <si>
    <t>Total</t>
  </si>
  <si>
    <t>Forests</t>
  </si>
  <si>
    <t>Updated</t>
  </si>
  <si>
    <t>North</t>
  </si>
  <si>
    <t>West</t>
  </si>
  <si>
    <t>Gross</t>
  </si>
  <si>
    <t>Exp</t>
  </si>
  <si>
    <t xml:space="preserve">East </t>
  </si>
  <si>
    <t>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</si>
</sst>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8" formatCode="&quot;$&quot;#,##0.00;[Red]\-&quot;$&quot;#,##0.00"/>
    <numFmt numFmtId="44" formatCode="_-&quot;$&quot;* #,##0.00_-;\-&quot;$&quot;* #,##0.00_-;_-&quot;$&quot;* &quot;-&quot;??_-;_-@_-"/>
    <numFmt numFmtId="164" formatCode="_(* #,##0.00_);_(* \(#,##0.00\);_(* &quot;-&quot;??_);_(@_)"/>
    <numFmt numFmtId="165" formatCode="_(&quot;$&quot;* #,##0.00_);_(&quot;$&quot;* \(#,##0.00\);_(&quot;$&quot;* &quot;-&quot;??_);_(@_)"/>
    <numFmt numFmtId="166" formatCode="_-* #,##0_-;\-* #,##0_-;_-* &quot;-&quot;??_-;_-@_-"/>
    <numFmt numFmtId="167" formatCode="0.0"/>
    <numFmt numFmtId="168" formatCode="0.000"/>
    <numFmt numFmtId="169" formatCode="_(* #,##0_);_(* \(#,##0\);_(* &quot;-&quot;??_);_(@_)"/>
    <numFmt numFmtId="170" formatCode="0.00000000000"/>
    <numFmt numFmtId="171" formatCode="_(&quot;$&quot;* #,##0_);_(&quot;$&quot;* \(#,##0\);_(&quot;$&quot;* &quot;-&quot;??_);_(@_)"/>
    <numFmt numFmtId="172" formatCode="&quot;$&quot;#,##0_);\(&quot;$&quot;#,##0\);\-_)"/>
    <numFmt numFmtId="173" formatCode="#,##0_);\(#,##0\);&quot;-&quot;_);@_)"/>
    <numFmt numFmtId="174" formatCode="_-&quot;$&quot;* #,##0_-;\-&quot;$&quot;* #,##0_-;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font>
    <font>
      <sz val="11"/>
      <name val="Calibri"/>
      <family val="2"/>
      <scheme val="minor"/>
    </font>
    <font>
      <sz val="11"/>
      <color theme="0" tint="-0.34998626667073579"/>
      <name val="Calibri"/>
      <family val="2"/>
      <scheme val="minor"/>
    </font>
    <font>
      <sz val="10"/>
      <name val="Calibri"/>
      <family val="2"/>
    </font>
    <font>
      <sz val="11"/>
      <color rgb="FF000000"/>
      <name val="Calibri"/>
      <family val="2"/>
      <scheme val="minor"/>
    </font>
    <font>
      <sz val="11"/>
      <color theme="0" tint="-0.249977111117893"/>
      <name val="Calibri"/>
      <family val="2"/>
      <scheme val="minor"/>
    </font>
    <font>
      <sz val="1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43"/>
        <bgColor indexed="64"/>
      </patternFill>
    </fill>
    <fill>
      <patternFill patternType="solid">
        <fgColor theme="0" tint="-0.249977111117893"/>
        <bgColor indexed="64"/>
      </patternFill>
    </fill>
  </fills>
  <borders count="2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55"/>
      </left>
      <right style="hair">
        <color indexed="55"/>
      </right>
      <top style="hair">
        <color indexed="55"/>
      </top>
      <bottom style="hair">
        <color indexed="55"/>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72" fontId="7" fillId="8" borderId="18">
      <alignment horizontal="right" vertical="top"/>
      <protection locked="0"/>
    </xf>
    <xf numFmtId="172" fontId="7" fillId="0" borderId="18">
      <alignment horizontal="right" vertical="top"/>
    </xf>
    <xf numFmtId="0" fontId="10" fillId="0" borderId="0"/>
    <xf numFmtId="0" fontId="10" fillId="0" borderId="0"/>
  </cellStyleXfs>
  <cellXfs count="381">
    <xf numFmtId="0" fontId="0" fillId="0" borderId="0" xfId="0"/>
    <xf numFmtId="0" fontId="2" fillId="2" borderId="0" xfId="0" applyFont="1" applyFill="1"/>
    <xf numFmtId="0" fontId="0" fillId="3" borderId="0" xfId="0" applyFill="1"/>
    <xf numFmtId="0" fontId="2" fillId="3" borderId="0" xfId="0" applyFont="1" applyFill="1"/>
    <xf numFmtId="0" fontId="0" fillId="3" borderId="2" xfId="0" applyFill="1" applyBorder="1"/>
    <xf numFmtId="0" fontId="0" fillId="3" borderId="3" xfId="0" applyFill="1" applyBorder="1"/>
    <xf numFmtId="0" fontId="3" fillId="3" borderId="0" xfId="0" applyFont="1" applyFill="1"/>
    <xf numFmtId="168" fontId="0" fillId="3" borderId="2" xfId="0" applyNumberFormat="1" applyFill="1" applyBorder="1"/>
    <xf numFmtId="168" fontId="0" fillId="3" borderId="0" xfId="0" applyNumberFormat="1" applyFill="1"/>
    <xf numFmtId="0" fontId="2" fillId="3" borderId="1" xfId="0" applyFont="1" applyFill="1" applyBorder="1"/>
    <xf numFmtId="0" fontId="4" fillId="4" borderId="4" xfId="0" applyFont="1" applyFill="1" applyBorder="1" applyAlignment="1">
      <alignment vertical="center"/>
    </xf>
    <xf numFmtId="0" fontId="4" fillId="4" borderId="5" xfId="0" applyFont="1" applyFill="1" applyBorder="1" applyAlignment="1">
      <alignment vertical="center"/>
    </xf>
    <xf numFmtId="169" fontId="0" fillId="3" borderId="0" xfId="1" applyNumberFormat="1" applyFont="1" applyFill="1"/>
    <xf numFmtId="167" fontId="0" fillId="0" borderId="0" xfId="0" applyNumberFormat="1"/>
    <xf numFmtId="170" fontId="0" fillId="3" borderId="0" xfId="0" applyNumberFormat="1" applyFill="1"/>
    <xf numFmtId="171" fontId="0" fillId="3" borderId="0" xfId="2" applyNumberFormat="1" applyFont="1" applyFill="1"/>
    <xf numFmtId="171" fontId="3" fillId="3" borderId="0" xfId="2" applyNumberFormat="1" applyFont="1" applyFill="1"/>
    <xf numFmtId="0" fontId="0" fillId="3" borderId="8" xfId="0" applyFill="1" applyBorder="1"/>
    <xf numFmtId="0" fontId="0" fillId="3" borderId="9" xfId="0" applyFill="1" applyBorder="1"/>
    <xf numFmtId="6" fontId="0" fillId="3" borderId="0" xfId="0" applyNumberFormat="1" applyFill="1"/>
    <xf numFmtId="6" fontId="0" fillId="5" borderId="0" xfId="0" applyNumberFormat="1" applyFill="1"/>
    <xf numFmtId="9" fontId="0" fillId="0" borderId="0" xfId="0" applyNumberFormat="1"/>
    <xf numFmtId="171" fontId="0" fillId="3" borderId="12" xfId="2" applyNumberFormat="1" applyFont="1" applyFill="1" applyBorder="1"/>
    <xf numFmtId="167" fontId="4" fillId="0" borderId="14" xfId="0" applyNumberFormat="1" applyFont="1" applyBorder="1" applyAlignment="1">
      <alignment horizontal="right" vertical="center"/>
    </xf>
    <xf numFmtId="167" fontId="4" fillId="0" borderId="0" xfId="0" applyNumberFormat="1" applyFont="1" applyAlignment="1">
      <alignment horizontal="right" vertical="center"/>
    </xf>
    <xf numFmtId="6" fontId="0" fillId="5" borderId="2" xfId="0" applyNumberFormat="1" applyFill="1" applyBorder="1"/>
    <xf numFmtId="0" fontId="2" fillId="5" borderId="2" xfId="0" applyFont="1" applyFill="1" applyBorder="1"/>
    <xf numFmtId="0" fontId="0" fillId="5" borderId="2" xfId="0" applyFill="1" applyBorder="1"/>
    <xf numFmtId="0" fontId="2" fillId="5" borderId="3" xfId="0" applyFont="1" applyFill="1" applyBorder="1" applyAlignment="1">
      <alignment horizontal="center"/>
    </xf>
    <xf numFmtId="1" fontId="0" fillId="3" borderId="0" xfId="0" applyNumberFormat="1" applyFill="1"/>
    <xf numFmtId="0" fontId="0" fillId="3" borderId="0" xfId="1" applyNumberFormat="1" applyFont="1" applyFill="1"/>
    <xf numFmtId="168" fontId="5" fillId="3" borderId="0" xfId="0" applyNumberFormat="1" applyFont="1" applyFill="1"/>
    <xf numFmtId="9" fontId="0" fillId="5" borderId="0" xfId="0" applyNumberFormat="1" applyFill="1"/>
    <xf numFmtId="171" fontId="0" fillId="3" borderId="11" xfId="2" applyNumberFormat="1" applyFont="1" applyFill="1" applyBorder="1"/>
    <xf numFmtId="0" fontId="2" fillId="6" borderId="2" xfId="0" applyFont="1" applyFill="1" applyBorder="1"/>
    <xf numFmtId="0" fontId="2" fillId="6" borderId="3" xfId="0" applyFont="1" applyFill="1" applyBorder="1"/>
    <xf numFmtId="0" fontId="0" fillId="6" borderId="15" xfId="0" applyFill="1" applyBorder="1"/>
    <xf numFmtId="0" fontId="0" fillId="0" borderId="15" xfId="0" applyBorder="1"/>
    <xf numFmtId="0" fontId="0" fillId="5" borderId="0" xfId="0" applyFill="1"/>
    <xf numFmtId="9" fontId="0" fillId="5" borderId="0" xfId="3" applyFont="1" applyFill="1"/>
    <xf numFmtId="0" fontId="2" fillId="2" borderId="6" xfId="0" applyFont="1" applyFill="1" applyBorder="1"/>
    <xf numFmtId="0" fontId="2" fillId="2" borderId="1" xfId="0" applyFont="1" applyFill="1" applyBorder="1"/>
    <xf numFmtId="9" fontId="0" fillId="0" borderId="0" xfId="3" applyFont="1"/>
    <xf numFmtId="168" fontId="0" fillId="0" borderId="0" xfId="0" applyNumberFormat="1"/>
    <xf numFmtId="2" fontId="0" fillId="0" borderId="0" xfId="0" applyNumberFormat="1"/>
    <xf numFmtId="6" fontId="2" fillId="5" borderId="3" xfId="0" applyNumberFormat="1" applyFont="1" applyFill="1" applyBorder="1" applyAlignment="1">
      <alignment horizontal="center"/>
    </xf>
    <xf numFmtId="0" fontId="0" fillId="5" borderId="15" xfId="0" applyFill="1" applyBorder="1"/>
    <xf numFmtId="169" fontId="4" fillId="0" borderId="5" xfId="0" applyNumberFormat="1" applyFont="1" applyBorder="1" applyAlignment="1">
      <alignment horizontal="right" vertical="center"/>
    </xf>
    <xf numFmtId="169" fontId="4" fillId="0" borderId="19" xfId="0" applyNumberFormat="1" applyFont="1" applyBorder="1" applyAlignment="1">
      <alignment horizontal="right" vertical="center"/>
    </xf>
    <xf numFmtId="169" fontId="4" fillId="0" borderId="20" xfId="0" applyNumberFormat="1" applyFont="1" applyBorder="1" applyAlignment="1">
      <alignment horizontal="right" vertical="center"/>
    </xf>
    <xf numFmtId="1" fontId="4" fillId="0" borderId="0" xfId="0" applyNumberFormat="1" applyFont="1" applyAlignment="1">
      <alignment horizontal="right" vertical="center"/>
    </xf>
    <xf numFmtId="0" fontId="2" fillId="0" borderId="3" xfId="0" applyFont="1" applyBorder="1"/>
    <xf numFmtId="0" fontId="0" fillId="0" borderId="3" xfId="0" applyBorder="1"/>
    <xf numFmtId="165" fontId="2" fillId="0" borderId="3" xfId="2" applyFont="1" applyBorder="1"/>
    <xf numFmtId="0" fontId="4" fillId="0" borderId="0" xfId="0" applyFont="1" applyAlignment="1">
      <alignment vertical="center"/>
    </xf>
    <xf numFmtId="0" fontId="0" fillId="0" borderId="0" xfId="0" applyAlignment="1">
      <alignment horizontal="center"/>
    </xf>
    <xf numFmtId="0" fontId="0" fillId="0" borderId="16" xfId="0" applyBorder="1"/>
    <xf numFmtId="0" fontId="0" fillId="0" borderId="26" xfId="0" applyBorder="1"/>
    <xf numFmtId="0" fontId="0" fillId="0" borderId="17" xfId="0" applyBorder="1"/>
    <xf numFmtId="0" fontId="8" fillId="0" borderId="0" xfId="0" applyFont="1"/>
    <xf numFmtId="8" fontId="0" fillId="3" borderId="0" xfId="0" applyNumberFormat="1" applyFill="1"/>
    <xf numFmtId="0" fontId="0" fillId="6" borderId="16" xfId="0" applyFill="1" applyBorder="1"/>
    <xf numFmtId="0" fontId="2" fillId="6" borderId="0" xfId="0" applyFont="1" applyFill="1"/>
    <xf numFmtId="0" fontId="2" fillId="3" borderId="3" xfId="0" applyFont="1" applyFill="1" applyBorder="1"/>
    <xf numFmtId="2" fontId="0" fillId="3" borderId="0" xfId="0" applyNumberFormat="1" applyFill="1"/>
    <xf numFmtId="0" fontId="0" fillId="6" borderId="6" xfId="0" applyFill="1" applyBorder="1" applyAlignment="1">
      <alignment horizontal="center" vertical="center"/>
    </xf>
    <xf numFmtId="0" fontId="0" fillId="6" borderId="1" xfId="0" applyFill="1" applyBorder="1" applyAlignment="1">
      <alignment horizontal="center" vertical="center"/>
    </xf>
    <xf numFmtId="0" fontId="0" fillId="6" borderId="7" xfId="0" applyFill="1" applyBorder="1" applyAlignment="1">
      <alignment horizontal="center" vertical="center"/>
    </xf>
    <xf numFmtId="6" fontId="0" fillId="5" borderId="6" xfId="0" applyNumberFormat="1" applyFill="1" applyBorder="1" applyAlignment="1">
      <alignment horizontal="center"/>
    </xf>
    <xf numFmtId="6" fontId="0" fillId="5" borderId="1" xfId="0" applyNumberFormat="1" applyFill="1" applyBorder="1" applyAlignment="1">
      <alignment horizontal="center"/>
    </xf>
    <xf numFmtId="6" fontId="0" fillId="5" borderId="7" xfId="0" applyNumberFormat="1" applyFill="1" applyBorder="1" applyAlignment="1">
      <alignment horizontal="center"/>
    </xf>
    <xf numFmtId="6" fontId="6" fillId="5" borderId="0" xfId="0" applyNumberFormat="1" applyFont="1" applyFill="1"/>
    <xf numFmtId="0" fontId="0" fillId="3" borderId="3" xfId="0" applyFill="1" applyBorder="1" applyAlignment="1">
      <alignment horizontal="center"/>
    </xf>
    <xf numFmtId="0" fontId="0" fillId="3" borderId="9" xfId="0" applyFill="1" applyBorder="1" applyAlignment="1">
      <alignment horizontal="center"/>
    </xf>
    <xf numFmtId="0" fontId="0" fillId="6" borderId="11" xfId="0" applyFill="1" applyBorder="1" applyAlignment="1">
      <alignment horizontal="center"/>
    </xf>
    <xf numFmtId="0" fontId="0" fillId="6" borderId="2" xfId="0" applyFill="1" applyBorder="1" applyAlignment="1">
      <alignment horizontal="center"/>
    </xf>
    <xf numFmtId="0" fontId="0" fillId="6" borderId="10" xfId="0" applyFill="1" applyBorder="1" applyAlignment="1">
      <alignment horizontal="center"/>
    </xf>
    <xf numFmtId="0" fontId="2" fillId="6" borderId="10" xfId="0" applyFont="1" applyFill="1" applyBorder="1"/>
    <xf numFmtId="0" fontId="6" fillId="3" borderId="0" xfId="0" applyFont="1" applyFill="1"/>
    <xf numFmtId="6" fontId="5" fillId="3" borderId="1" xfId="0" applyNumberFormat="1" applyFont="1" applyFill="1" applyBorder="1" applyAlignment="1">
      <alignment horizontal="center"/>
    </xf>
    <xf numFmtId="6" fontId="5" fillId="3" borderId="7" xfId="0" applyNumberFormat="1" applyFont="1" applyFill="1" applyBorder="1" applyAlignment="1">
      <alignment horizontal="center"/>
    </xf>
    <xf numFmtId="6" fontId="5" fillId="3" borderId="6" xfId="0" applyNumberFormat="1" applyFont="1" applyFill="1" applyBorder="1" applyAlignment="1">
      <alignment horizontal="center"/>
    </xf>
    <xf numFmtId="171" fontId="0" fillId="5" borderId="15" xfId="2" applyNumberFormat="1" applyFont="1" applyFill="1" applyBorder="1" applyAlignment="1">
      <alignment horizontal="center"/>
    </xf>
    <xf numFmtId="171" fontId="0" fillId="3" borderId="12" xfId="2" applyNumberFormat="1" applyFont="1" applyFill="1" applyBorder="1" applyAlignment="1">
      <alignment horizontal="center"/>
    </xf>
    <xf numFmtId="171" fontId="0" fillId="0" borderId="12" xfId="2" applyNumberFormat="1" applyFont="1" applyBorder="1" applyAlignment="1">
      <alignment horizontal="center"/>
    </xf>
    <xf numFmtId="171" fontId="0" fillId="0" borderId="8" xfId="2" applyNumberFormat="1" applyFont="1" applyBorder="1" applyAlignment="1">
      <alignment horizontal="center"/>
    </xf>
    <xf numFmtId="171" fontId="0" fillId="0" borderId="3" xfId="2" applyNumberFormat="1" applyFont="1" applyBorder="1" applyAlignment="1">
      <alignment horizontal="center"/>
    </xf>
    <xf numFmtId="171" fontId="0" fillId="5" borderId="3" xfId="2" applyNumberFormat="1" applyFont="1" applyFill="1" applyBorder="1" applyAlignment="1">
      <alignment horizontal="center"/>
    </xf>
    <xf numFmtId="0" fontId="0" fillId="0" borderId="8" xfId="0" applyBorder="1" applyAlignment="1">
      <alignment horizontal="center"/>
    </xf>
    <xf numFmtId="0" fontId="2" fillId="5" borderId="12" xfId="0" applyFont="1" applyFill="1" applyBorder="1" applyAlignment="1">
      <alignment horizontal="center"/>
    </xf>
    <xf numFmtId="167" fontId="2" fillId="7" borderId="6" xfId="0" applyNumberFormat="1" applyFont="1" applyFill="1" applyBorder="1" applyAlignment="1">
      <alignment horizontal="right"/>
    </xf>
    <xf numFmtId="167" fontId="2" fillId="7" borderId="1" xfId="0" applyNumberFormat="1" applyFont="1" applyFill="1" applyBorder="1" applyAlignment="1">
      <alignment horizontal="right"/>
    </xf>
    <xf numFmtId="167" fontId="2" fillId="7" borderId="7" xfId="0" applyNumberFormat="1" applyFont="1" applyFill="1" applyBorder="1" applyAlignment="1">
      <alignment horizontal="right"/>
    </xf>
    <xf numFmtId="0" fontId="5" fillId="6" borderId="15" xfId="0" applyFont="1" applyFill="1" applyBorder="1" applyAlignment="1">
      <alignment horizontal="center"/>
    </xf>
    <xf numFmtId="0" fontId="0" fillId="3" borderId="0" xfId="0" applyFill="1" applyAlignment="1">
      <alignment horizontal="right"/>
    </xf>
    <xf numFmtId="0" fontId="3" fillId="3" borderId="0" xfId="0" applyFont="1" applyFill="1" applyAlignment="1">
      <alignment horizontal="right"/>
    </xf>
    <xf numFmtId="0" fontId="0" fillId="3" borderId="2" xfId="0" applyFill="1" applyBorder="1" applyAlignment="1">
      <alignment horizontal="right"/>
    </xf>
    <xf numFmtId="0" fontId="2" fillId="3" borderId="0" xfId="0" applyFont="1" applyFill="1" applyAlignment="1">
      <alignment horizontal="right"/>
    </xf>
    <xf numFmtId="0" fontId="2" fillId="3" borderId="1" xfId="0" applyFont="1" applyFill="1" applyBorder="1" applyAlignment="1">
      <alignment horizontal="right"/>
    </xf>
    <xf numFmtId="6" fontId="5" fillId="3" borderId="0" xfId="2" applyNumberFormat="1" applyFont="1" applyFill="1" applyAlignment="1">
      <alignment horizontal="center"/>
    </xf>
    <xf numFmtId="0" fontId="2" fillId="6" borderId="9" xfId="0" applyFont="1" applyFill="1" applyBorder="1"/>
    <xf numFmtId="0" fontId="0" fillId="6" borderId="3" xfId="0" applyFill="1" applyBorder="1"/>
    <xf numFmtId="6" fontId="0" fillId="5" borderId="10" xfId="0" applyNumberFormat="1" applyFill="1" applyBorder="1" applyAlignment="1">
      <alignment horizontal="center"/>
    </xf>
    <xf numFmtId="6" fontId="0" fillId="5" borderId="9" xfId="0" applyNumberFormat="1" applyFill="1" applyBorder="1" applyAlignment="1">
      <alignment horizontal="center"/>
    </xf>
    <xf numFmtId="0" fontId="0" fillId="3" borderId="16" xfId="0" applyFill="1" applyBorder="1"/>
    <xf numFmtId="0" fontId="0" fillId="3" borderId="17" xfId="0" applyFill="1" applyBorder="1"/>
    <xf numFmtId="0" fontId="0" fillId="3" borderId="26" xfId="0" applyFill="1" applyBorder="1"/>
    <xf numFmtId="165" fontId="0" fillId="3" borderId="26" xfId="2" applyFont="1" applyFill="1" applyBorder="1"/>
    <xf numFmtId="6" fontId="0" fillId="3" borderId="0" xfId="0" applyNumberFormat="1" applyFill="1" applyAlignment="1">
      <alignment horizontal="center"/>
    </xf>
    <xf numFmtId="44" fontId="0" fillId="3" borderId="11" xfId="0" applyNumberFormat="1" applyFill="1" applyBorder="1"/>
    <xf numFmtId="165" fontId="0" fillId="3" borderId="12" xfId="2" applyFont="1" applyFill="1" applyBorder="1"/>
    <xf numFmtId="165" fontId="6" fillId="3" borderId="16" xfId="2" applyFont="1" applyFill="1" applyBorder="1"/>
    <xf numFmtId="165" fontId="6" fillId="3" borderId="26" xfId="2" applyFont="1" applyFill="1" applyBorder="1"/>
    <xf numFmtId="6" fontId="6" fillId="0" borderId="15" xfId="0" applyNumberFormat="1" applyFont="1" applyBorder="1"/>
    <xf numFmtId="0" fontId="0" fillId="5" borderId="15" xfId="0" applyFill="1" applyBorder="1" applyAlignment="1">
      <alignment horizontal="center"/>
    </xf>
    <xf numFmtId="0" fontId="0" fillId="0" borderId="7" xfId="0" applyBorder="1"/>
    <xf numFmtId="6" fontId="0" fillId="5" borderId="15" xfId="0" applyNumberFormat="1" applyFill="1" applyBorder="1"/>
    <xf numFmtId="0" fontId="0" fillId="3" borderId="15" xfId="0" applyFill="1" applyBorder="1" applyAlignment="1">
      <alignment horizontal="center"/>
    </xf>
    <xf numFmtId="0" fontId="0" fillId="6" borderId="16" xfId="0" applyFill="1" applyBorder="1" applyAlignment="1">
      <alignment horizontal="center"/>
    </xf>
    <xf numFmtId="6" fontId="0" fillId="5" borderId="16" xfId="0" applyNumberFormat="1" applyFill="1" applyBorder="1" applyAlignment="1">
      <alignment horizontal="center"/>
    </xf>
    <xf numFmtId="6" fontId="0" fillId="5" borderId="26" xfId="0" applyNumberFormat="1" applyFill="1" applyBorder="1" applyAlignment="1">
      <alignment horizontal="center"/>
    </xf>
    <xf numFmtId="6" fontId="0" fillId="0" borderId="0" xfId="0" applyNumberFormat="1"/>
    <xf numFmtId="9" fontId="2" fillId="7" borderId="3" xfId="3" applyFont="1" applyFill="1" applyBorder="1" applyAlignment="1">
      <alignment horizontal="right"/>
    </xf>
    <xf numFmtId="44" fontId="3" fillId="3" borderId="0" xfId="2" applyNumberFormat="1" applyFont="1" applyFill="1"/>
    <xf numFmtId="0" fontId="0" fillId="6" borderId="11" xfId="0" applyFill="1" applyBorder="1" applyAlignment="1">
      <alignment horizontal="left"/>
    </xf>
    <xf numFmtId="17" fontId="0" fillId="0" borderId="0" xfId="0" applyNumberFormat="1"/>
    <xf numFmtId="0" fontId="0" fillId="0" borderId="11" xfId="0" applyBorder="1"/>
    <xf numFmtId="0" fontId="0" fillId="0" borderId="12" xfId="0" applyBorder="1"/>
    <xf numFmtId="0" fontId="0" fillId="0" borderId="13" xfId="0" applyBorder="1"/>
    <xf numFmtId="6" fontId="0" fillId="5" borderId="11" xfId="0" applyNumberFormat="1" applyFill="1" applyBorder="1" applyAlignment="1">
      <alignment horizontal="center"/>
    </xf>
    <xf numFmtId="6" fontId="0" fillId="5" borderId="2" xfId="0" applyNumberFormat="1" applyFill="1" applyBorder="1" applyAlignment="1">
      <alignment horizontal="center"/>
    </xf>
    <xf numFmtId="6" fontId="0" fillId="5" borderId="13" xfId="0" applyNumberFormat="1" applyFill="1" applyBorder="1" applyAlignment="1">
      <alignment horizontal="center"/>
    </xf>
    <xf numFmtId="6" fontId="0" fillId="5" borderId="3" xfId="0" applyNumberFormat="1" applyFill="1" applyBorder="1" applyAlignment="1">
      <alignment horizontal="center"/>
    </xf>
    <xf numFmtId="6" fontId="0" fillId="0" borderId="6" xfId="0" applyNumberFormat="1" applyBorder="1"/>
    <xf numFmtId="6" fontId="0" fillId="0" borderId="15" xfId="0" applyNumberFormat="1" applyBorder="1"/>
    <xf numFmtId="17" fontId="0" fillId="6" borderId="6" xfId="0" applyNumberFormat="1" applyFill="1" applyBorder="1" applyAlignment="1">
      <alignment horizontal="center" vertical="center"/>
    </xf>
    <xf numFmtId="17" fontId="0" fillId="6" borderId="7" xfId="0" applyNumberFormat="1" applyFill="1" applyBorder="1" applyAlignment="1">
      <alignment horizontal="center" vertical="center"/>
    </xf>
    <xf numFmtId="17" fontId="0" fillId="0" borderId="16" xfId="0" applyNumberFormat="1" applyBorder="1" applyAlignment="1">
      <alignment horizontal="left"/>
    </xf>
    <xf numFmtId="0" fontId="0" fillId="0" borderId="17" xfId="0" applyBorder="1" applyAlignment="1">
      <alignment horizontal="left"/>
    </xf>
    <xf numFmtId="17" fontId="0" fillId="0" borderId="26" xfId="0" applyNumberFormat="1" applyBorder="1" applyAlignment="1">
      <alignment horizontal="left"/>
    </xf>
    <xf numFmtId="0" fontId="0" fillId="0" borderId="26" xfId="0" applyBorder="1" applyAlignment="1">
      <alignment horizontal="left"/>
    </xf>
    <xf numFmtId="14" fontId="0" fillId="5" borderId="15" xfId="0" applyNumberFormat="1" applyFill="1" applyBorder="1" applyAlignment="1">
      <alignment horizontal="center"/>
    </xf>
    <xf numFmtId="0" fontId="0" fillId="0" borderId="9" xfId="0" applyBorder="1"/>
    <xf numFmtId="0" fontId="0" fillId="6" borderId="2" xfId="0" applyFill="1" applyBorder="1"/>
    <xf numFmtId="0" fontId="0" fillId="6" borderId="8" xfId="0" applyFill="1" applyBorder="1"/>
    <xf numFmtId="0" fontId="0" fillId="6" borderId="0" xfId="0" applyFill="1"/>
    <xf numFmtId="0" fontId="10" fillId="0" borderId="0" xfId="6"/>
    <xf numFmtId="44" fontId="0" fillId="0" borderId="0" xfId="0" applyNumberFormat="1"/>
    <xf numFmtId="174" fontId="0" fillId="0" borderId="0" xfId="0" applyNumberFormat="1"/>
    <xf numFmtId="3" fontId="0" fillId="0" borderId="0" xfId="0" applyNumberFormat="1"/>
    <xf numFmtId="3" fontId="0" fillId="0" borderId="3" xfId="0" applyNumberFormat="1" applyBorder="1"/>
    <xf numFmtId="6" fontId="6" fillId="0" borderId="0" xfId="0" applyNumberFormat="1" applyFont="1"/>
    <xf numFmtId="171" fontId="3" fillId="3" borderId="2" xfId="2" applyNumberFormat="1" applyFont="1" applyFill="1" applyBorder="1"/>
    <xf numFmtId="171" fontId="0" fillId="3" borderId="3" xfId="2" applyNumberFormat="1" applyFont="1" applyFill="1" applyBorder="1"/>
    <xf numFmtId="168" fontId="0" fillId="3" borderId="3" xfId="0" applyNumberFormat="1" applyFill="1" applyBorder="1"/>
    <xf numFmtId="171" fontId="0" fillId="3" borderId="0" xfId="2" applyNumberFormat="1" applyFont="1" applyFill="1" applyBorder="1"/>
    <xf numFmtId="0" fontId="3" fillId="3" borderId="1" xfId="0" applyFont="1" applyFill="1" applyBorder="1"/>
    <xf numFmtId="0" fontId="0" fillId="3" borderId="10" xfId="0" applyFill="1" applyBorder="1"/>
    <xf numFmtId="9" fontId="0" fillId="5" borderId="0" xfId="3" applyFont="1" applyFill="1" applyBorder="1" applyAlignment="1">
      <alignment horizontal="center"/>
    </xf>
    <xf numFmtId="0" fontId="0" fillId="3" borderId="8" xfId="0" applyFill="1" applyBorder="1" applyAlignment="1">
      <alignment horizontal="right"/>
    </xf>
    <xf numFmtId="0" fontId="0" fillId="3" borderId="12" xfId="0" applyFill="1" applyBorder="1" applyAlignment="1">
      <alignment horizontal="center"/>
    </xf>
    <xf numFmtId="0" fontId="0" fillId="3" borderId="0" xfId="0" applyFill="1" applyAlignment="1">
      <alignment horizontal="center"/>
    </xf>
    <xf numFmtId="9" fontId="0" fillId="5" borderId="2" xfId="3" applyFont="1" applyFill="1" applyBorder="1" applyAlignment="1">
      <alignment horizontal="center"/>
    </xf>
    <xf numFmtId="9" fontId="0" fillId="5" borderId="11" xfId="3" applyFont="1" applyFill="1" applyBorder="1" applyAlignment="1">
      <alignment horizontal="center"/>
    </xf>
    <xf numFmtId="9" fontId="0" fillId="3" borderId="0" xfId="3" applyFont="1" applyFill="1" applyBorder="1" applyAlignment="1">
      <alignment horizontal="center"/>
    </xf>
    <xf numFmtId="171" fontId="0" fillId="3" borderId="8" xfId="2" applyNumberFormat="1" applyFont="1" applyFill="1" applyBorder="1" applyAlignment="1">
      <alignment horizontal="center"/>
    </xf>
    <xf numFmtId="171" fontId="0" fillId="6" borderId="11" xfId="2" applyNumberFormat="1" applyFont="1" applyFill="1" applyBorder="1"/>
    <xf numFmtId="171" fontId="0" fillId="6" borderId="2" xfId="2" applyNumberFormat="1" applyFont="1" applyFill="1" applyBorder="1"/>
    <xf numFmtId="171" fontId="0" fillId="6" borderId="10" xfId="2" applyNumberFormat="1" applyFont="1" applyFill="1" applyBorder="1"/>
    <xf numFmtId="174" fontId="0" fillId="6" borderId="11" xfId="0" applyNumberFormat="1" applyFill="1" applyBorder="1"/>
    <xf numFmtId="174" fontId="0" fillId="6" borderId="2" xfId="0" applyNumberFormat="1" applyFill="1" applyBorder="1"/>
    <xf numFmtId="174" fontId="0" fillId="6" borderId="10" xfId="0" applyNumberFormat="1" applyFill="1" applyBorder="1"/>
    <xf numFmtId="165" fontId="0" fillId="6" borderId="2" xfId="2" applyFont="1" applyFill="1" applyBorder="1"/>
    <xf numFmtId="165" fontId="0" fillId="6" borderId="10" xfId="2" applyFont="1" applyFill="1" applyBorder="1"/>
    <xf numFmtId="171" fontId="0" fillId="6" borderId="12" xfId="2" applyNumberFormat="1" applyFont="1" applyFill="1" applyBorder="1"/>
    <xf numFmtId="171" fontId="0" fillId="6" borderId="0" xfId="2" applyNumberFormat="1" applyFont="1" applyFill="1" applyBorder="1"/>
    <xf numFmtId="171" fontId="0" fillId="6" borderId="8" xfId="2" applyNumberFormat="1" applyFont="1" applyFill="1" applyBorder="1"/>
    <xf numFmtId="174" fontId="0" fillId="6" borderId="12" xfId="0" applyNumberFormat="1" applyFill="1" applyBorder="1"/>
    <xf numFmtId="174" fontId="0" fillId="6" borderId="0" xfId="0" applyNumberFormat="1" applyFill="1"/>
    <xf numFmtId="174" fontId="0" fillId="6" borderId="8" xfId="0" applyNumberFormat="1" applyFill="1" applyBorder="1"/>
    <xf numFmtId="165" fontId="0" fillId="6" borderId="0" xfId="2" applyFont="1" applyFill="1" applyBorder="1"/>
    <xf numFmtId="165" fontId="0" fillId="6" borderId="8" xfId="2" applyFont="1" applyFill="1" applyBorder="1"/>
    <xf numFmtId="171" fontId="0" fillId="6" borderId="13" xfId="2" applyNumberFormat="1" applyFont="1" applyFill="1" applyBorder="1"/>
    <xf numFmtId="171" fontId="0" fillId="6" borderId="3" xfId="2" applyNumberFormat="1" applyFont="1" applyFill="1" applyBorder="1"/>
    <xf numFmtId="171" fontId="0" fillId="6" borderId="9" xfId="2" applyNumberFormat="1" applyFont="1" applyFill="1" applyBorder="1"/>
    <xf numFmtId="174" fontId="0" fillId="6" borderId="13" xfId="0" applyNumberFormat="1" applyFill="1" applyBorder="1"/>
    <xf numFmtId="174" fontId="0" fillId="6" borderId="3" xfId="0" applyNumberFormat="1" applyFill="1" applyBorder="1"/>
    <xf numFmtId="174" fontId="0" fillId="6" borderId="9" xfId="0" applyNumberFormat="1" applyFill="1" applyBorder="1"/>
    <xf numFmtId="165" fontId="0" fillId="6" borderId="3" xfId="2" applyFont="1" applyFill="1" applyBorder="1"/>
    <xf numFmtId="165" fontId="0" fillId="6" borderId="9" xfId="2" applyFont="1" applyFill="1" applyBorder="1"/>
    <xf numFmtId="0" fontId="0" fillId="6" borderId="11" xfId="0" applyFill="1" applyBorder="1"/>
    <xf numFmtId="167" fontId="0" fillId="6" borderId="10" xfId="0" applyNumberFormat="1" applyFill="1" applyBorder="1"/>
    <xf numFmtId="0" fontId="0" fillId="6" borderId="12" xfId="0" applyFill="1" applyBorder="1"/>
    <xf numFmtId="167" fontId="0" fillId="6" borderId="8" xfId="0" applyNumberFormat="1" applyFill="1" applyBorder="1"/>
    <xf numFmtId="0" fontId="0" fillId="6" borderId="13" xfId="0" applyFill="1" applyBorder="1"/>
    <xf numFmtId="167" fontId="0" fillId="6" borderId="9" xfId="0" applyNumberFormat="1" applyFill="1" applyBorder="1"/>
    <xf numFmtId="0" fontId="0" fillId="6" borderId="10" xfId="0" applyFill="1" applyBorder="1"/>
    <xf numFmtId="1" fontId="0" fillId="6" borderId="11" xfId="0" applyNumberFormat="1" applyFill="1" applyBorder="1"/>
    <xf numFmtId="1" fontId="0" fillId="6" borderId="2" xfId="0" applyNumberFormat="1" applyFill="1" applyBorder="1"/>
    <xf numFmtId="1" fontId="0" fillId="6" borderId="12" xfId="0" applyNumberFormat="1" applyFill="1" applyBorder="1"/>
    <xf numFmtId="1" fontId="0" fillId="6" borderId="0" xfId="0" applyNumberFormat="1" applyFill="1"/>
    <xf numFmtId="1" fontId="0" fillId="6" borderId="13" xfId="0" applyNumberFormat="1" applyFill="1" applyBorder="1"/>
    <xf numFmtId="1" fontId="0" fillId="6" borderId="3" xfId="0" applyNumberFormat="1" applyFill="1" applyBorder="1"/>
    <xf numFmtId="0" fontId="4" fillId="4" borderId="24" xfId="0" applyFont="1" applyFill="1" applyBorder="1" applyAlignment="1">
      <alignment vertical="center"/>
    </xf>
    <xf numFmtId="0" fontId="0" fillId="5" borderId="16" xfId="0" applyFill="1" applyBorder="1"/>
    <xf numFmtId="171" fontId="0" fillId="5" borderId="2" xfId="0" applyNumberFormat="1" applyFill="1" applyBorder="1"/>
    <xf numFmtId="171" fontId="0" fillId="5" borderId="10" xfId="0" applyNumberFormat="1" applyFill="1" applyBorder="1"/>
    <xf numFmtId="171" fontId="0" fillId="5" borderId="0" xfId="0" applyNumberFormat="1" applyFill="1"/>
    <xf numFmtId="171" fontId="0" fillId="5" borderId="8" xfId="0" applyNumberFormat="1" applyFill="1" applyBorder="1"/>
    <xf numFmtId="171" fontId="0" fillId="5" borderId="3" xfId="0" applyNumberFormat="1" applyFill="1" applyBorder="1"/>
    <xf numFmtId="171" fontId="0" fillId="5" borderId="9" xfId="0" applyNumberFormat="1" applyFill="1" applyBorder="1"/>
    <xf numFmtId="0" fontId="0" fillId="6" borderId="17" xfId="0" applyFill="1" applyBorder="1"/>
    <xf numFmtId="0" fontId="0" fillId="6" borderId="26" xfId="0" applyFill="1" applyBorder="1"/>
    <xf numFmtId="165" fontId="0" fillId="6" borderId="11" xfId="2" applyFont="1" applyFill="1" applyBorder="1"/>
    <xf numFmtId="165" fontId="0" fillId="6" borderId="12" xfId="2" applyFont="1" applyFill="1" applyBorder="1"/>
    <xf numFmtId="165" fontId="0" fillId="6" borderId="13" xfId="2" applyFont="1" applyFill="1" applyBorder="1"/>
    <xf numFmtId="0" fontId="0" fillId="9" borderId="15" xfId="0" applyFill="1" applyBorder="1"/>
    <xf numFmtId="0" fontId="0" fillId="9" borderId="16" xfId="0" applyFill="1" applyBorder="1"/>
    <xf numFmtId="0" fontId="0" fillId="9" borderId="17" xfId="0" applyFill="1" applyBorder="1"/>
    <xf numFmtId="0" fontId="0" fillId="9" borderId="26" xfId="0" applyFill="1" applyBorder="1"/>
    <xf numFmtId="171" fontId="0" fillId="5" borderId="6" xfId="2" applyNumberFormat="1" applyFont="1" applyFill="1" applyBorder="1" applyAlignment="1">
      <alignment horizontal="center"/>
    </xf>
    <xf numFmtId="171" fontId="0" fillId="5" borderId="1" xfId="2" applyNumberFormat="1" applyFont="1" applyFill="1" applyBorder="1" applyAlignment="1">
      <alignment horizontal="center"/>
    </xf>
    <xf numFmtId="171" fontId="0" fillId="5" borderId="7" xfId="2" applyNumberFormat="1" applyFont="1" applyFill="1" applyBorder="1" applyAlignment="1">
      <alignment horizontal="center"/>
    </xf>
    <xf numFmtId="0" fontId="6" fillId="0" borderId="15" xfId="0" applyFont="1" applyBorder="1"/>
    <xf numFmtId="171" fontId="0" fillId="3" borderId="11" xfId="2" applyNumberFormat="1" applyFont="1" applyFill="1" applyBorder="1" applyAlignment="1">
      <alignment horizontal="center"/>
    </xf>
    <xf numFmtId="171" fontId="0" fillId="3" borderId="2" xfId="2" applyNumberFormat="1" applyFont="1" applyFill="1" applyBorder="1" applyAlignment="1">
      <alignment horizontal="center"/>
    </xf>
    <xf numFmtId="171" fontId="0" fillId="3" borderId="10" xfId="2" applyNumberFormat="1" applyFont="1" applyFill="1" applyBorder="1" applyAlignment="1">
      <alignment horizontal="center"/>
    </xf>
    <xf numFmtId="9" fontId="0" fillId="5" borderId="8" xfId="3" applyFont="1" applyFill="1" applyBorder="1" applyAlignment="1">
      <alignment horizontal="center"/>
    </xf>
    <xf numFmtId="9" fontId="0" fillId="3" borderId="8" xfId="3" applyFont="1" applyFill="1" applyBorder="1" applyAlignment="1">
      <alignment horizontal="center"/>
    </xf>
    <xf numFmtId="171" fontId="0" fillId="3" borderId="0" xfId="2" applyNumberFormat="1" applyFont="1" applyFill="1" applyBorder="1" applyAlignment="1">
      <alignment horizontal="center"/>
    </xf>
    <xf numFmtId="171" fontId="0" fillId="0" borderId="0" xfId="2" applyNumberFormat="1" applyFont="1" applyBorder="1" applyAlignment="1">
      <alignment horizontal="center"/>
    </xf>
    <xf numFmtId="0" fontId="6" fillId="0" borderId="0" xfId="0" applyFont="1" applyAlignment="1">
      <alignment horizontal="center"/>
    </xf>
    <xf numFmtId="0" fontId="2" fillId="5" borderId="0" xfId="0" applyFont="1" applyFill="1" applyAlignment="1">
      <alignment horizontal="center"/>
    </xf>
    <xf numFmtId="0" fontId="2" fillId="5" borderId="8" xfId="0" applyFont="1" applyFill="1" applyBorder="1" applyAlignment="1">
      <alignment horizontal="center"/>
    </xf>
    <xf numFmtId="6" fontId="0" fillId="0" borderId="8" xfId="0" applyNumberFormat="1" applyBorder="1"/>
    <xf numFmtId="6" fontId="9" fillId="0" borderId="0" xfId="0" applyNumberFormat="1" applyFont="1"/>
    <xf numFmtId="6" fontId="9" fillId="0" borderId="8" xfId="0" applyNumberFormat="1" applyFont="1" applyBorder="1"/>
    <xf numFmtId="6" fontId="2" fillId="7" borderId="0" xfId="0" applyNumberFormat="1" applyFont="1" applyFill="1"/>
    <xf numFmtId="6" fontId="2" fillId="7" borderId="8" xfId="0" applyNumberFormat="1" applyFont="1" applyFill="1" applyBorder="1"/>
    <xf numFmtId="0" fontId="0" fillId="0" borderId="10" xfId="0" applyBorder="1"/>
    <xf numFmtId="2" fontId="0" fillId="9" borderId="6" xfId="0" applyNumberFormat="1" applyFill="1" applyBorder="1"/>
    <xf numFmtId="2" fontId="0" fillId="0" borderId="16" xfId="0" applyNumberFormat="1" applyBorder="1"/>
    <xf numFmtId="2" fontId="0" fillId="0" borderId="17" xfId="0" applyNumberFormat="1" applyBorder="1"/>
    <xf numFmtId="2" fontId="0" fillId="0" borderId="26" xfId="0" applyNumberFormat="1" applyBorder="1"/>
    <xf numFmtId="0" fontId="0" fillId="6" borderId="9" xfId="0" applyFill="1" applyBorder="1"/>
    <xf numFmtId="1" fontId="0" fillId="0" borderId="26" xfId="0" applyNumberFormat="1" applyBorder="1"/>
    <xf numFmtId="1" fontId="0" fillId="0" borderId="17" xfId="0" applyNumberFormat="1" applyBorder="1"/>
    <xf numFmtId="2" fontId="0" fillId="6" borderId="12" xfId="0" applyNumberFormat="1" applyFill="1" applyBorder="1"/>
    <xf numFmtId="2" fontId="0" fillId="6" borderId="13" xfId="0" applyNumberFormat="1" applyFill="1" applyBorder="1"/>
    <xf numFmtId="166" fontId="6" fillId="3" borderId="12" xfId="1" applyNumberFormat="1" applyFont="1" applyFill="1" applyBorder="1" applyAlignment="1">
      <alignment horizontal="center" vertical="center"/>
    </xf>
    <xf numFmtId="166" fontId="6" fillId="3" borderId="0" xfId="1" applyNumberFormat="1" applyFont="1" applyFill="1" applyBorder="1" applyAlignment="1">
      <alignment vertical="center"/>
    </xf>
    <xf numFmtId="166" fontId="6" fillId="3" borderId="8" xfId="1" applyNumberFormat="1" applyFont="1" applyFill="1" applyBorder="1" applyAlignment="1">
      <alignment vertical="center"/>
    </xf>
    <xf numFmtId="0" fontId="2" fillId="6" borderId="6" xfId="0" applyFont="1" applyFill="1" applyBorder="1"/>
    <xf numFmtId="0" fontId="2" fillId="6" borderId="1" xfId="0" applyFont="1" applyFill="1" applyBorder="1"/>
    <xf numFmtId="1" fontId="0" fillId="6" borderId="10" xfId="0" applyNumberFormat="1" applyFill="1" applyBorder="1"/>
    <xf numFmtId="1" fontId="0" fillId="6" borderId="8" xfId="0" applyNumberFormat="1" applyFill="1" applyBorder="1"/>
    <xf numFmtId="1" fontId="0" fillId="6" borderId="9" xfId="0" applyNumberFormat="1" applyFill="1" applyBorder="1"/>
    <xf numFmtId="6" fontId="0" fillId="0" borderId="16" xfId="0" applyNumberFormat="1" applyBorder="1"/>
    <xf numFmtId="6" fontId="0" fillId="0" borderId="17" xfId="0" applyNumberFormat="1" applyBorder="1"/>
    <xf numFmtId="6" fontId="0" fillId="0" borderId="26" xfId="0" applyNumberFormat="1" applyBorder="1"/>
    <xf numFmtId="0" fontId="0" fillId="5" borderId="11" xfId="0" applyFill="1" applyBorder="1"/>
    <xf numFmtId="0" fontId="0" fillId="5" borderId="12" xfId="0" applyFill="1" applyBorder="1"/>
    <xf numFmtId="0" fontId="0" fillId="5" borderId="13" xfId="0" applyFill="1" applyBorder="1"/>
    <xf numFmtId="171" fontId="0" fillId="5" borderId="11" xfId="0" applyNumberFormat="1" applyFill="1" applyBorder="1"/>
    <xf numFmtId="171" fontId="0" fillId="5" borderId="12" xfId="0" applyNumberFormat="1" applyFill="1" applyBorder="1"/>
    <xf numFmtId="171" fontId="0" fillId="5" borderId="13" xfId="0" applyNumberFormat="1" applyFill="1" applyBorder="1"/>
    <xf numFmtId="171" fontId="0" fillId="0" borderId="0" xfId="0" applyNumberFormat="1" applyAlignment="1">
      <alignment horizontal="left" indent="1"/>
    </xf>
    <xf numFmtId="171" fontId="0" fillId="0" borderId="16" xfId="2" applyNumberFormat="1" applyFont="1" applyBorder="1" applyAlignment="1">
      <alignment horizontal="left" indent="1"/>
    </xf>
    <xf numFmtId="171" fontId="0" fillId="0" borderId="17" xfId="2" applyNumberFormat="1" applyFont="1" applyBorder="1" applyAlignment="1">
      <alignment horizontal="left" indent="1"/>
    </xf>
    <xf numFmtId="171" fontId="0" fillId="0" borderId="26" xfId="2" applyNumberFormat="1" applyFont="1" applyBorder="1" applyAlignment="1">
      <alignment horizontal="left" indent="1"/>
    </xf>
    <xf numFmtId="2" fontId="0" fillId="0" borderId="11" xfId="0" applyNumberFormat="1" applyBorder="1"/>
    <xf numFmtId="2" fontId="0" fillId="0" borderId="10" xfId="0" applyNumberFormat="1" applyBorder="1"/>
    <xf numFmtId="2" fontId="0" fillId="0" borderId="12" xfId="0" applyNumberFormat="1" applyBorder="1"/>
    <xf numFmtId="2" fontId="0" fillId="0" borderId="8" xfId="0" applyNumberFormat="1" applyBorder="1"/>
    <xf numFmtId="2" fontId="0" fillId="0" borderId="13" xfId="0" applyNumberFormat="1" applyBorder="1"/>
    <xf numFmtId="2" fontId="0" fillId="0" borderId="9" xfId="0" applyNumberFormat="1" applyBorder="1"/>
    <xf numFmtId="0" fontId="9" fillId="0" borderId="0" xfId="0" applyFont="1"/>
    <xf numFmtId="171" fontId="0" fillId="6" borderId="0" xfId="0" applyNumberFormat="1" applyFill="1"/>
    <xf numFmtId="171" fontId="0" fillId="6" borderId="3" xfId="0" applyNumberFormat="1" applyFill="1" applyBorder="1"/>
    <xf numFmtId="167" fontId="0" fillId="0" borderId="1" xfId="0" applyNumberFormat="1" applyBorder="1"/>
    <xf numFmtId="2" fontId="0" fillId="9" borderId="16" xfId="0" applyNumberFormat="1" applyFill="1" applyBorder="1"/>
    <xf numFmtId="1" fontId="0" fillId="0" borderId="9" xfId="0" applyNumberFormat="1" applyBorder="1"/>
    <xf numFmtId="1" fontId="0" fillId="6" borderId="16" xfId="0" applyNumberFormat="1" applyFill="1" applyBorder="1"/>
    <xf numFmtId="1" fontId="0" fillId="6" borderId="17" xfId="0" applyNumberFormat="1" applyFill="1" applyBorder="1"/>
    <xf numFmtId="1" fontId="0" fillId="6" borderId="26" xfId="0" applyNumberFormat="1" applyFill="1" applyBorder="1"/>
    <xf numFmtId="2" fontId="0" fillId="6" borderId="16" xfId="0" applyNumberFormat="1" applyFill="1" applyBorder="1"/>
    <xf numFmtId="2" fontId="0" fillId="6" borderId="17" xfId="0" applyNumberFormat="1" applyFill="1" applyBorder="1"/>
    <xf numFmtId="2" fontId="0" fillId="6" borderId="26" xfId="0" applyNumberFormat="1" applyFill="1" applyBorder="1"/>
    <xf numFmtId="2" fontId="0" fillId="0" borderId="2" xfId="0" applyNumberFormat="1" applyBorder="1"/>
    <xf numFmtId="2" fontId="0" fillId="0" borderId="3" xfId="0" applyNumberFormat="1" applyBorder="1"/>
    <xf numFmtId="0" fontId="1" fillId="9" borderId="15" xfId="0" applyFont="1" applyFill="1" applyBorder="1"/>
    <xf numFmtId="0" fontId="1" fillId="9" borderId="6" xfId="0" applyFont="1" applyFill="1" applyBorder="1"/>
    <xf numFmtId="0" fontId="5" fillId="6" borderId="26" xfId="6" applyFont="1" applyFill="1" applyBorder="1"/>
    <xf numFmtId="173" fontId="5" fillId="6" borderId="26" xfId="7" applyNumberFormat="1" applyFont="1" applyFill="1" applyBorder="1" applyProtection="1">
      <protection locked="0"/>
    </xf>
    <xf numFmtId="0" fontId="5" fillId="0" borderId="11" xfId="6" applyFont="1" applyBorder="1"/>
    <xf numFmtId="173" fontId="5" fillId="0" borderId="2" xfId="7" applyNumberFormat="1" applyFont="1" applyBorder="1" applyProtection="1">
      <protection locked="0"/>
    </xf>
    <xf numFmtId="0" fontId="5" fillId="0" borderId="12" xfId="6" applyFont="1" applyBorder="1"/>
    <xf numFmtId="173" fontId="5" fillId="0" borderId="0" xfId="7" applyNumberFormat="1" applyFont="1" applyProtection="1">
      <protection locked="0"/>
    </xf>
    <xf numFmtId="173" fontId="5" fillId="0" borderId="8" xfId="7" applyNumberFormat="1" applyFont="1" applyBorder="1" applyProtection="1">
      <protection locked="0"/>
    </xf>
    <xf numFmtId="0" fontId="5" fillId="0" borderId="13" xfId="6" applyFont="1" applyBorder="1"/>
    <xf numFmtId="173" fontId="5" fillId="0" borderId="3" xfId="7" applyNumberFormat="1" applyFont="1" applyBorder="1" applyProtection="1">
      <protection locked="0"/>
    </xf>
    <xf numFmtId="0" fontId="4" fillId="4" borderId="0" xfId="0" applyFont="1" applyFill="1" applyAlignment="1">
      <alignment vertical="center"/>
    </xf>
    <xf numFmtId="9" fontId="0" fillId="0" borderId="16" xfId="3" applyFont="1" applyFill="1" applyBorder="1"/>
    <xf numFmtId="17" fontId="0" fillId="0" borderId="15" xfId="0" applyNumberFormat="1" applyBorder="1"/>
    <xf numFmtId="171" fontId="0" fillId="0" borderId="2" xfId="2" applyNumberFormat="1" applyFont="1" applyBorder="1"/>
    <xf numFmtId="171" fontId="0" fillId="0" borderId="10" xfId="2" applyNumberFormat="1" applyFont="1" applyBorder="1"/>
    <xf numFmtId="171" fontId="0" fillId="0" borderId="3" xfId="2" applyNumberFormat="1" applyFont="1" applyBorder="1"/>
    <xf numFmtId="171" fontId="0" fillId="0" borderId="9" xfId="2" applyNumberFormat="1" applyFont="1" applyBorder="1"/>
    <xf numFmtId="165" fontId="6" fillId="6" borderId="15" xfId="2" applyFont="1" applyFill="1" applyBorder="1"/>
    <xf numFmtId="171" fontId="0" fillId="3" borderId="0" xfId="2" applyNumberFormat="1" applyFont="1" applyFill="1" applyAlignment="1">
      <alignment horizontal="center"/>
    </xf>
    <xf numFmtId="0" fontId="0" fillId="3" borderId="13" xfId="0" applyFill="1" applyBorder="1" applyAlignment="1">
      <alignment horizontal="center"/>
    </xf>
    <xf numFmtId="3" fontId="0" fillId="0" borderId="10" xfId="0" applyNumberFormat="1" applyBorder="1"/>
    <xf numFmtId="9" fontId="0" fillId="5" borderId="12" xfId="3" applyFont="1" applyFill="1" applyBorder="1" applyAlignment="1">
      <alignment horizontal="center"/>
    </xf>
    <xf numFmtId="9" fontId="0" fillId="5" borderId="0" xfId="3" applyFont="1" applyFill="1" applyAlignment="1">
      <alignment horizontal="center"/>
    </xf>
    <xf numFmtId="3" fontId="0" fillId="0" borderId="8" xfId="0" applyNumberFormat="1" applyBorder="1"/>
    <xf numFmtId="166" fontId="0" fillId="0" borderId="12" xfId="1" applyNumberFormat="1" applyFont="1" applyBorder="1" applyAlignment="1">
      <alignment horizontal="center"/>
    </xf>
    <xf numFmtId="166" fontId="0" fillId="0" borderId="0" xfId="1" applyNumberFormat="1" applyFont="1" applyAlignment="1">
      <alignment horizontal="center"/>
    </xf>
    <xf numFmtId="171" fontId="0" fillId="5" borderId="12" xfId="2" applyNumberFormat="1" applyFont="1" applyFill="1" applyBorder="1" applyAlignment="1">
      <alignment horizontal="center"/>
    </xf>
    <xf numFmtId="171" fontId="0" fillId="5" borderId="0" xfId="2" applyNumberFormat="1" applyFont="1" applyFill="1" applyAlignment="1">
      <alignment horizontal="center"/>
    </xf>
    <xf numFmtId="171" fontId="0" fillId="0" borderId="0" xfId="2" applyNumberFormat="1" applyFont="1" applyAlignment="1">
      <alignment horizontal="center"/>
    </xf>
    <xf numFmtId="171" fontId="0" fillId="0" borderId="0" xfId="0" applyNumberFormat="1" applyAlignment="1">
      <alignment horizontal="center" vertical="center"/>
    </xf>
    <xf numFmtId="9" fontId="0" fillId="0" borderId="9" xfId="0" applyNumberFormat="1" applyBorder="1"/>
    <xf numFmtId="171" fontId="0" fillId="0" borderId="0" xfId="0" applyNumberFormat="1"/>
    <xf numFmtId="167" fontId="0" fillId="0" borderId="8" xfId="0" applyNumberFormat="1" applyBorder="1"/>
    <xf numFmtId="171" fontId="0" fillId="0" borderId="0" xfId="0" applyNumberFormat="1" applyAlignment="1">
      <alignment horizontal="center"/>
    </xf>
    <xf numFmtId="167" fontId="0" fillId="0" borderId="8" xfId="0" applyNumberFormat="1" applyBorder="1" applyAlignment="1">
      <alignment horizontal="right"/>
    </xf>
    <xf numFmtId="167" fontId="0" fillId="0" borderId="9" xfId="0" applyNumberFormat="1" applyBorder="1"/>
    <xf numFmtId="6" fontId="2" fillId="0" borderId="0" xfId="0" applyNumberFormat="1" applyFont="1"/>
    <xf numFmtId="167" fontId="2" fillId="0" borderId="6" xfId="0" applyNumberFormat="1" applyFont="1" applyBorder="1" applyAlignment="1">
      <alignment horizontal="right"/>
    </xf>
    <xf numFmtId="167" fontId="2" fillId="0" borderId="1" xfId="0" applyNumberFormat="1" applyFont="1" applyBorder="1" applyAlignment="1">
      <alignment horizontal="right"/>
    </xf>
    <xf numFmtId="9" fontId="2" fillId="0" borderId="3" xfId="3" applyFont="1" applyFill="1" applyBorder="1" applyAlignment="1">
      <alignment horizontal="right"/>
    </xf>
    <xf numFmtId="171" fontId="0" fillId="5" borderId="0" xfId="2" applyNumberFormat="1" applyFont="1" applyFill="1"/>
    <xf numFmtId="171" fontId="0" fillId="0" borderId="0" xfId="2" applyNumberFormat="1" applyFont="1"/>
    <xf numFmtId="0" fontId="2" fillId="0" borderId="0" xfId="0" applyFont="1"/>
    <xf numFmtId="9" fontId="0" fillId="0" borderId="0" xfId="3" applyFont="1" applyFill="1"/>
    <xf numFmtId="169" fontId="0" fillId="7" borderId="0" xfId="1" applyNumberFormat="1" applyFont="1" applyFill="1"/>
    <xf numFmtId="0" fontId="0" fillId="6" borderId="1" xfId="0" applyFill="1" applyBorder="1"/>
    <xf numFmtId="0" fontId="0" fillId="6" borderId="7" xfId="0" applyFill="1" applyBorder="1"/>
    <xf numFmtId="0" fontId="0" fillId="0" borderId="2" xfId="0" applyBorder="1"/>
    <xf numFmtId="0" fontId="0" fillId="0" borderId="8" xfId="0" applyBorder="1"/>
    <xf numFmtId="0" fontId="0" fillId="0" borderId="6" xfId="0" applyBorder="1"/>
    <xf numFmtId="0" fontId="0" fillId="6" borderId="6" xfId="0" applyFill="1" applyBorder="1" applyAlignment="1">
      <alignment horizontal="center"/>
    </xf>
    <xf numFmtId="0" fontId="0" fillId="6" borderId="1" xfId="0" applyFill="1" applyBorder="1" applyAlignment="1">
      <alignment horizontal="center"/>
    </xf>
    <xf numFmtId="0" fontId="0" fillId="6" borderId="7" xfId="0" applyFill="1" applyBorder="1" applyAlignment="1">
      <alignment horizontal="center"/>
    </xf>
    <xf numFmtId="0" fontId="2" fillId="5" borderId="6" xfId="0" applyFont="1" applyFill="1" applyBorder="1" applyAlignment="1">
      <alignment horizontal="center"/>
    </xf>
    <xf numFmtId="0" fontId="2" fillId="5" borderId="1" xfId="0" applyFont="1" applyFill="1" applyBorder="1" applyAlignment="1">
      <alignment horizontal="center"/>
    </xf>
    <xf numFmtId="0" fontId="2" fillId="5" borderId="7" xfId="0" applyFont="1" applyFill="1" applyBorder="1" applyAlignment="1">
      <alignment horizontal="center"/>
    </xf>
    <xf numFmtId="0" fontId="2" fillId="6" borderId="6" xfId="0" applyFont="1" applyFill="1" applyBorder="1" applyAlignment="1">
      <alignment horizontal="center"/>
    </xf>
    <xf numFmtId="0" fontId="2" fillId="6" borderId="1" xfId="0" applyFont="1" applyFill="1" applyBorder="1" applyAlignment="1">
      <alignment horizontal="center"/>
    </xf>
    <xf numFmtId="0" fontId="2" fillId="6" borderId="7" xfId="0" applyFont="1" applyFill="1" applyBorder="1" applyAlignment="1">
      <alignment horizontal="center"/>
    </xf>
    <xf numFmtId="0" fontId="2" fillId="0" borderId="3" xfId="0" applyFont="1" applyBorder="1" applyAlignment="1">
      <alignment horizontal="center"/>
    </xf>
    <xf numFmtId="0" fontId="2" fillId="0" borderId="15" xfId="0" applyFont="1" applyBorder="1" applyAlignment="1">
      <alignment horizontal="center"/>
    </xf>
    <xf numFmtId="0" fontId="0" fillId="6" borderId="15" xfId="0" applyFill="1" applyBorder="1" applyAlignment="1">
      <alignment horizont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3" xfId="0" applyFont="1" applyFill="1" applyBorder="1" applyAlignment="1">
      <alignment horizontal="center" vertic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5" fillId="6" borderId="6" xfId="0" applyFont="1" applyFill="1" applyBorder="1" applyAlignment="1">
      <alignment horizontal="center"/>
    </xf>
    <xf numFmtId="0" fontId="5" fillId="6" borderId="7" xfId="0" applyFont="1" applyFill="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5" fillId="6" borderId="1" xfId="0" applyFont="1" applyFill="1" applyBorder="1" applyAlignment="1">
      <alignment horizontal="center"/>
    </xf>
    <xf numFmtId="171" fontId="0" fillId="5" borderId="6" xfId="2" applyNumberFormat="1" applyFont="1" applyFill="1" applyBorder="1" applyAlignment="1">
      <alignment horizontal="center"/>
    </xf>
    <xf numFmtId="171" fontId="0" fillId="5" borderId="1" xfId="2" applyNumberFormat="1" applyFont="1" applyFill="1" applyBorder="1" applyAlignment="1">
      <alignment horizontal="center"/>
    </xf>
    <xf numFmtId="171" fontId="0" fillId="5" borderId="7" xfId="2" applyNumberFormat="1" applyFont="1" applyFill="1" applyBorder="1" applyAlignment="1">
      <alignment horizontal="center"/>
    </xf>
    <xf numFmtId="171" fontId="0" fillId="5" borderId="15" xfId="2" applyNumberFormat="1" applyFont="1" applyFill="1" applyBorder="1" applyAlignment="1">
      <alignment horizontal="center"/>
    </xf>
    <xf numFmtId="171" fontId="0" fillId="5" borderId="0" xfId="2" applyNumberFormat="1" applyFont="1" applyFill="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71" fontId="0" fillId="0" borderId="0" xfId="2" applyNumberFormat="1" applyFont="1" applyAlignment="1">
      <alignment horizontal="center" vertical="center"/>
    </xf>
    <xf numFmtId="171" fontId="0" fillId="0" borderId="0" xfId="2" applyNumberFormat="1" applyFont="1" applyFill="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171" fontId="0" fillId="0" borderId="0" xfId="2" applyNumberFormat="1" applyFont="1" applyAlignment="1">
      <alignment horizontal="center"/>
    </xf>
    <xf numFmtId="0" fontId="0" fillId="0" borderId="11" xfId="0" applyBorder="1" applyAlignment="1">
      <alignment horizontal="center" vertical="center"/>
    </xf>
  </cellXfs>
  <cellStyles count="8">
    <cellStyle name="Calc$#" xfId="5" xr:uid="{D9747D01-64EA-4AD5-9CB9-AF3957638769}"/>
    <cellStyle name="Comma" xfId="1" builtinId="3"/>
    <cellStyle name="Currency" xfId="2" builtinId="4"/>
    <cellStyle name="Input$#" xfId="4" xr:uid="{542DAFC6-7BA3-4BFA-98EF-AC1498D41901}"/>
    <cellStyle name="Normal" xfId="0" builtinId="0"/>
    <cellStyle name="Normal_Fr-domestic" xfId="6" xr:uid="{8FE51CCE-4F72-4F3F-97AF-FDAAC7957331}"/>
    <cellStyle name="Normal_Fr-domestic 2" xfId="7" xr:uid="{3D281FDD-0646-44BA-941D-671832719040}"/>
    <cellStyle name="Percent" xfId="3" builtinId="5"/>
  </cellStyles>
  <dxfs count="4">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53975</xdr:colOff>
      <xdr:row>0</xdr:row>
      <xdr:rowOff>31749</xdr:rowOff>
    </xdr:from>
    <xdr:to>
      <xdr:col>9</xdr:col>
      <xdr:colOff>542925</xdr:colOff>
      <xdr:row>102</xdr:row>
      <xdr:rowOff>38100</xdr:rowOff>
    </xdr:to>
    <xdr:sp macro="" textlink="">
      <xdr:nvSpPr>
        <xdr:cNvPr id="3" name="TextBox 2">
          <a:extLst>
            <a:ext uri="{FF2B5EF4-FFF2-40B4-BE49-F238E27FC236}">
              <a16:creationId xmlns:a16="http://schemas.microsoft.com/office/drawing/2014/main" id="{D93809F4-32A7-44BC-A72B-FD5E4FA33DB0}"/>
            </a:ext>
          </a:extLst>
        </xdr:cNvPr>
        <xdr:cNvSpPr txBox="1"/>
      </xdr:nvSpPr>
      <xdr:spPr>
        <a:xfrm>
          <a:off x="53975" y="31749"/>
          <a:ext cx="5975350" cy="18465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b="1">
            <a:solidFill>
              <a:schemeClr val="dk1"/>
            </a:solidFill>
            <a:effectLst/>
            <a:latin typeface="+mn-lt"/>
            <a:ea typeface="+mn-ea"/>
            <a:cs typeface="+mn-cs"/>
          </a:endParaRPr>
        </a:p>
        <a:p>
          <a:endParaRPr lang="en-NZ" sz="1100" b="1">
            <a:solidFill>
              <a:schemeClr val="dk1"/>
            </a:solidFill>
            <a:effectLst/>
            <a:latin typeface="+mn-lt"/>
            <a:ea typeface="+mn-ea"/>
            <a:cs typeface="+mn-cs"/>
          </a:endParaRPr>
        </a:p>
        <a:p>
          <a:endParaRPr lang="en-NZ" sz="1100" b="1">
            <a:solidFill>
              <a:schemeClr val="dk1"/>
            </a:solidFill>
            <a:effectLst/>
            <a:latin typeface="+mn-lt"/>
            <a:ea typeface="+mn-ea"/>
            <a:cs typeface="+mn-cs"/>
          </a:endParaRPr>
        </a:p>
        <a:p>
          <a:endParaRPr lang="en-NZ" sz="1100" b="1">
            <a:solidFill>
              <a:schemeClr val="dk1"/>
            </a:solidFill>
            <a:effectLst/>
            <a:latin typeface="+mn-lt"/>
            <a:ea typeface="+mn-ea"/>
            <a:cs typeface="+mn-cs"/>
          </a:endParaRP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Purpose</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This model was created originally for the estimation of the financial returns from afforestation for NZ Emissions Trading Scheme (ETS) and is used for policy and regulatory impact analysis, and in emission reduction plans (ERP).  </a:t>
          </a:r>
        </a:p>
        <a:p>
          <a:endParaRPr lang="en-NZ" sz="1100" b="0" i="0" u="sng"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Published: September 2022</a:t>
          </a:r>
        </a:p>
        <a:p>
          <a:r>
            <a:rPr lang="en-NZ" sz="1100" b="0" i="0" u="none" strike="noStrike">
              <a:solidFill>
                <a:schemeClr val="dk1"/>
              </a:solidFill>
              <a:effectLst/>
              <a:latin typeface="+mn-lt"/>
              <a:ea typeface="+mn-ea"/>
              <a:cs typeface="+mn-cs"/>
            </a:rPr>
            <a:t>Updated: April 2023, October</a:t>
          </a:r>
          <a:r>
            <a:rPr lang="en-NZ" sz="1100" b="0" i="0" u="none" strike="noStrike" baseline="0">
              <a:solidFill>
                <a:schemeClr val="dk1"/>
              </a:solidFill>
              <a:effectLst/>
              <a:latin typeface="+mn-lt"/>
              <a:ea typeface="+mn-ea"/>
              <a:cs typeface="+mn-cs"/>
            </a:rPr>
            <a:t> 2024, January 2025.</a:t>
          </a:r>
          <a:endParaRPr lang="en-NZ" sz="1100" b="0" i="0" u="none" strike="noStrike">
            <a:solidFill>
              <a:schemeClr val="dk1"/>
            </a:solidFill>
            <a:effectLst/>
            <a:latin typeface="+mn-lt"/>
            <a:ea typeface="+mn-ea"/>
            <a:cs typeface="+mn-cs"/>
          </a:endParaRPr>
        </a:p>
        <a:p>
          <a:endParaRPr lang="en-NZ" sz="1100" b="0" i="0" u="none" strike="noStrike">
            <a:solidFill>
              <a:schemeClr val="dk1"/>
            </a:solidFill>
            <a:effectLst/>
            <a:latin typeface="+mn-lt"/>
            <a:ea typeface="+mn-ea"/>
            <a:cs typeface="+mn-cs"/>
          </a:endParaRPr>
        </a:p>
        <a:p>
          <a:r>
            <a:rPr lang="en-NZ" sz="1100" b="0" i="0" u="none" strike="noStrike">
              <a:solidFill>
                <a:schemeClr val="dk1"/>
              </a:solidFill>
              <a:effectLst/>
              <a:latin typeface="+mn-lt"/>
              <a:ea typeface="+mn-ea"/>
              <a:cs typeface="+mn-cs"/>
            </a:rPr>
            <a:t>Contact:</a:t>
          </a:r>
          <a:r>
            <a:rPr lang="en-NZ"/>
            <a:t> </a:t>
          </a:r>
          <a:r>
            <a:rPr lang="en-NZ" sz="1100" b="0" i="0" u="none" strike="noStrike">
              <a:solidFill>
                <a:schemeClr val="dk1"/>
              </a:solidFill>
              <a:effectLst/>
              <a:latin typeface="+mn-lt"/>
              <a:ea typeface="+mn-ea"/>
              <a:cs typeface="+mn-cs"/>
            </a:rPr>
            <a:t>mpi.forestry@mpi.govt.nz</a:t>
          </a:r>
          <a:r>
            <a:rPr lang="en-NZ"/>
            <a:t>  </a:t>
          </a:r>
          <a:endParaRPr lang="en-NZ" sz="1100">
            <a:solidFill>
              <a:schemeClr val="dk1"/>
            </a:solidFill>
            <a:effectLst/>
            <a:latin typeface="+mn-lt"/>
            <a:ea typeface="+mn-ea"/>
            <a:cs typeface="+mn-cs"/>
          </a:endParaRP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Emission factors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Planted forests (radiata pine) yield tables include the ETS default and field measurement approach (FMA) weighted average tables. The minor species default tables are also included in the model (although the model needs to be reconfigured to enable these). </a:t>
          </a:r>
        </a:p>
        <a:p>
          <a:r>
            <a:rPr lang="en-NZ" sz="1100">
              <a:solidFill>
                <a:schemeClr val="dk1"/>
              </a:solidFill>
              <a:effectLst/>
              <a:latin typeface="+mn-lt"/>
              <a:ea typeface="+mn-ea"/>
              <a:cs typeface="+mn-cs"/>
            </a:rPr>
            <a:t>Native forests yield tables include the ETS default</a:t>
          </a:r>
          <a:r>
            <a:rPr lang="en-NZ" sz="1100" baseline="0">
              <a:solidFill>
                <a:schemeClr val="dk1"/>
              </a:solidFill>
              <a:effectLst/>
              <a:latin typeface="+mn-lt"/>
              <a:ea typeface="+mn-ea"/>
              <a:cs typeface="+mn-cs"/>
            </a:rPr>
            <a:t> and</a:t>
          </a:r>
          <a:r>
            <a:rPr lang="en-NZ" sz="1100">
              <a:solidFill>
                <a:schemeClr val="dk1"/>
              </a:solidFill>
              <a:effectLst/>
              <a:latin typeface="+mn-lt"/>
              <a:ea typeface="+mn-ea"/>
              <a:cs typeface="+mn-cs"/>
            </a:rPr>
            <a:t> FMA weighted average tables. </a:t>
          </a:r>
        </a:p>
        <a:p>
          <a:r>
            <a:rPr lang="en-NZ" sz="1100">
              <a:solidFill>
                <a:schemeClr val="dk1"/>
              </a:solidFill>
              <a:effectLst/>
              <a:latin typeface="+mn-lt"/>
              <a:ea typeface="+mn-ea"/>
              <a:cs typeface="+mn-cs"/>
            </a:rPr>
            <a:t>Forests under 100 hectares are required to use the default tables and forests over 100 hectares are required to use FMA derived tables in the ETS. These tables are selected in the assumptions tab.</a:t>
          </a: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Discount rates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Variable</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discount rates by forest type are used within the model from Manley (2022 and 2024) and Weaver (2023). The discount</a:t>
          </a:r>
          <a:r>
            <a:rPr lang="en-NZ" sz="1100" baseline="0">
              <a:solidFill>
                <a:schemeClr val="dk1"/>
              </a:solidFill>
              <a:effectLst/>
              <a:latin typeface="+mn-lt"/>
              <a:ea typeface="+mn-ea"/>
              <a:cs typeface="+mn-cs"/>
            </a:rPr>
            <a:t> rates for exotic forests are based on medium-large forests and different rates are used for revenue from carbon and harvest returns, as outlined in Manley.</a:t>
          </a:r>
          <a:r>
            <a:rPr lang="en-NZ" sz="1100">
              <a:solidFill>
                <a:schemeClr val="dk1"/>
              </a:solidFill>
              <a:effectLst/>
              <a:latin typeface="+mn-lt"/>
              <a:ea typeface="+mn-ea"/>
              <a:cs typeface="+mn-cs"/>
            </a:rPr>
            <a:t> The calculation</a:t>
          </a:r>
          <a:r>
            <a:rPr lang="en-NZ" sz="1100" baseline="0">
              <a:solidFill>
                <a:schemeClr val="dk1"/>
              </a:solidFill>
              <a:effectLst/>
              <a:latin typeface="+mn-lt"/>
              <a:ea typeface="+mn-ea"/>
              <a:cs typeface="+mn-cs"/>
            </a:rPr>
            <a:t> of </a:t>
          </a:r>
          <a:r>
            <a:rPr lang="en-NZ" sz="1100">
              <a:solidFill>
                <a:schemeClr val="dk1"/>
              </a:solidFill>
              <a:effectLst/>
              <a:latin typeface="+mn-lt"/>
              <a:ea typeface="+mn-ea"/>
              <a:cs typeface="+mn-cs"/>
            </a:rPr>
            <a:t>opportunity cost for farming uses methodology outlined in Harrison and Bruce (2019) and uses a 5% discount rate.</a:t>
          </a: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Opportunity cost</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Opportunity cost uses Beef+LambNZ and DairyNZ economic data (e</a:t>
          </a:r>
          <a:r>
            <a:rPr lang="en-NZ"/>
            <a:t>arnings before interest, tax, rent and manager wage</a:t>
          </a:r>
          <a:r>
            <a:rPr lang="en-NZ" sz="1100">
              <a:solidFill>
                <a:schemeClr val="dk1"/>
              </a:solidFill>
              <a:effectLst/>
              <a:latin typeface="+mn-lt"/>
              <a:ea typeface="+mn-ea"/>
              <a:cs typeface="+mn-cs"/>
            </a:rPr>
            <a:t>) and is calculated using the method described in Harrison and Bruce (2019). </a:t>
          </a: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Assumptions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The assumptions that are configurable are highlighted and many have dropdown lists. The investment results tab allows for the selection of carbon price scenarios and harvest returns via drop down lists. The assumptions used are referenced within the assumptions tab. </a:t>
          </a: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Harvest</a:t>
          </a:r>
        </a:p>
        <a:p>
          <a:endParaRPr lang="en-NZ" sz="1100" b="1">
            <a:solidFill>
              <a:schemeClr val="dk1"/>
            </a:solidFill>
            <a:effectLst/>
            <a:latin typeface="+mn-lt"/>
            <a:ea typeface="+mn-ea"/>
            <a:cs typeface="+mn-cs"/>
          </a:endParaRPr>
        </a:p>
        <a:p>
          <a:r>
            <a:rPr lang="en-NZ" sz="1100">
              <a:solidFill>
                <a:schemeClr val="dk1"/>
              </a:solidFill>
              <a:effectLst/>
              <a:latin typeface="+mn-lt"/>
              <a:ea typeface="+mn-ea"/>
              <a:cs typeface="+mn-cs"/>
            </a:rPr>
            <a:t>The model estimates harvest returns by region and percentile (25th, 50th and 75th) based on publicly available data and reports. However, the model is limited to data that are publicly available, and harvest returns are highly variable and site specific. Therefore, the model provides an indication of harvest returns by region but is unlikely to reflect specific sites or species other than radiata pine. </a:t>
          </a:r>
        </a:p>
        <a:p>
          <a:endParaRPr lang="en-NZ" sz="1100" b="1">
            <a:solidFill>
              <a:schemeClr val="dk1"/>
            </a:solidFill>
            <a:effectLst/>
            <a:latin typeface="+mn-lt"/>
            <a:ea typeface="+mn-ea"/>
            <a:cs typeface="+mn-cs"/>
          </a:endParaRPr>
        </a:p>
        <a:p>
          <a:r>
            <a:rPr lang="en-NZ" sz="1100" b="1">
              <a:solidFill>
                <a:schemeClr val="dk1"/>
              </a:solidFill>
              <a:effectLst/>
              <a:latin typeface="+mn-lt"/>
              <a:ea typeface="+mn-ea"/>
              <a:cs typeface="+mn-cs"/>
            </a:rPr>
            <a:t>Results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The results are on the investment results tab and are expressed in net present value (NPV) or cost:benefit ratio as</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earnings before interest and tax (EBIT). The results under exotic averaging uses a shorter term to reflect the calculation of NPV over one rotation (28 years). The results are presented by hectare but this can be changed in the model.</a:t>
          </a: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Afforestation on Crown-owned land</a:t>
          </a:r>
        </a:p>
        <a:p>
          <a:endParaRPr lang="en-NZ" sz="1100" b="1">
            <a:solidFill>
              <a:schemeClr val="dk1"/>
            </a:solidFill>
            <a:effectLst/>
            <a:latin typeface="+mn-lt"/>
            <a:ea typeface="+mn-ea"/>
            <a:cs typeface="+mn-cs"/>
          </a:endParaRPr>
        </a:p>
        <a:p>
          <a:r>
            <a:rPr lang="en-NZ" sz="1100" b="0">
              <a:solidFill>
                <a:schemeClr val="dk1"/>
              </a:solidFill>
              <a:effectLst/>
              <a:latin typeface="+mn-lt"/>
              <a:ea typeface="+mn-ea"/>
              <a:cs typeface="+mn-cs"/>
            </a:rPr>
            <a:t>A worksheet is added for the afforestation on Crown-owned land proposal outlined in ERP2. This proposal aims</a:t>
          </a:r>
          <a:r>
            <a:rPr lang="en-NZ" sz="1100" b="0" baseline="0">
              <a:solidFill>
                <a:schemeClr val="dk1"/>
              </a:solidFill>
              <a:effectLst/>
              <a:latin typeface="+mn-lt"/>
              <a:ea typeface="+mn-ea"/>
              <a:cs typeface="+mn-cs"/>
            </a:rPr>
            <a:t> to achieve 5 mt of removals by 2050 to offset long-lived gasses outside of the ETS. </a:t>
          </a:r>
          <a:r>
            <a:rPr lang="en-NZ" sz="1100" b="0">
              <a:solidFill>
                <a:schemeClr val="dk1"/>
              </a:solidFill>
              <a:effectLst/>
              <a:latin typeface="+mn-lt"/>
              <a:ea typeface="+mn-ea"/>
              <a:cs typeface="+mn-cs"/>
            </a:rPr>
            <a:t>  </a:t>
          </a:r>
        </a:p>
        <a:p>
          <a:endParaRPr lang="en-NZ" sz="1100" b="0">
            <a:solidFill>
              <a:schemeClr val="dk1"/>
            </a:solidFill>
            <a:effectLst/>
            <a:latin typeface="+mn-lt"/>
            <a:ea typeface="+mn-ea"/>
            <a:cs typeface="+mn-cs"/>
          </a:endParaRPr>
        </a:p>
        <a:p>
          <a:r>
            <a:rPr lang="en-NZ"/>
            <a:t>The scenario involves a mix of indigenous and exotic planting on up to 320,000 hectares of Crown-owned land from 2027 until 2050. The scenario is based on the following assumptions: </a:t>
          </a:r>
        </a:p>
        <a:p>
          <a:r>
            <a:rPr lang="en-NZ"/>
            <a:t>• a high level of uptake, with an average planting rate of around 15,000 hectares per year from 2027. </a:t>
          </a:r>
        </a:p>
        <a:p>
          <a:r>
            <a:rPr lang="en-NZ"/>
            <a:t>• at least 320,000 hectares of Crown-owned land has the biophysical factors required for afforestation (e.g., altitude/slope/rainfall) and is free of other constraints that may limit the Crown’s ability to offer it for partnership. </a:t>
          </a:r>
        </a:p>
        <a:p>
          <a:r>
            <a:rPr lang="en-NZ"/>
            <a:t>• calculates abatement in alignment with the methods used within emissions budgets and targets, as described in the ERP2 technical annex under part 1: The ENZ model. </a:t>
          </a:r>
        </a:p>
        <a:p>
          <a:r>
            <a:rPr lang="en-NZ"/>
            <a:t>• calculates NZ ETS unit allocations and returns using the default look-up tables for the Canterbury-West Coast regions. </a:t>
          </a:r>
        </a:p>
        <a:p>
          <a:endParaRPr lang="en-NZ"/>
        </a:p>
        <a:p>
          <a:r>
            <a:rPr lang="en-NZ"/>
            <a:t>The Government intends to progress afforestation on  Crown land through partnership with the private sector. Early market engagement will improve understanding of the factorsthat will drive private sector interest and support successful implementation.</a:t>
          </a:r>
          <a:endParaRPr lang="en-NZ" sz="1100" b="0">
            <a:solidFill>
              <a:schemeClr val="dk1"/>
            </a:solidFill>
            <a:effectLst/>
            <a:latin typeface="+mn-lt"/>
            <a:ea typeface="+mn-ea"/>
            <a:cs typeface="+mn-cs"/>
          </a:endParaRPr>
        </a:p>
        <a:p>
          <a:endParaRPr lang="en-NZ" sz="1100">
            <a:solidFill>
              <a:schemeClr val="dk1"/>
            </a:solidFill>
            <a:effectLst/>
            <a:latin typeface="+mn-lt"/>
            <a:ea typeface="+mn-ea"/>
            <a:cs typeface="+mn-cs"/>
          </a:endParaRPr>
        </a:p>
        <a:p>
          <a:r>
            <a:rPr lang="en-NZ" sz="1100" b="1">
              <a:solidFill>
                <a:schemeClr val="dk1"/>
              </a:solidFill>
              <a:effectLst/>
              <a:latin typeface="+mn-lt"/>
              <a:ea typeface="+mn-ea"/>
              <a:cs typeface="+mn-cs"/>
            </a:rPr>
            <a:t>References</a:t>
          </a:r>
        </a:p>
        <a:p>
          <a:r>
            <a:rPr lang="en-NZ" sz="1100" b="1">
              <a:solidFill>
                <a:schemeClr val="dk1"/>
              </a:solidFill>
              <a:effectLst/>
              <a:latin typeface="+mn-lt"/>
              <a:ea typeface="+mn-ea"/>
              <a:cs typeface="+mn-cs"/>
            </a:rPr>
            <a:t> </a:t>
          </a:r>
        </a:p>
        <a:p>
          <a:r>
            <a:rPr lang="en-NZ" sz="1100">
              <a:solidFill>
                <a:schemeClr val="dk1"/>
              </a:solidFill>
              <a:effectLst/>
              <a:latin typeface="+mn-lt"/>
              <a:ea typeface="+mn-ea"/>
              <a:cs typeface="+mn-cs"/>
            </a:rPr>
            <a:t>Aotearoa Circle, 2020. </a:t>
          </a:r>
          <a:r>
            <a:rPr lang="en-NZ" sz="1100" i="1">
              <a:solidFill>
                <a:schemeClr val="dk1"/>
              </a:solidFill>
              <a:effectLst/>
              <a:latin typeface="+mn-lt"/>
              <a:ea typeface="+mn-ea"/>
              <a:cs typeface="+mn-cs"/>
            </a:rPr>
            <a:t>Native Forests: Resetting the balance</a:t>
          </a:r>
          <a:r>
            <a:rPr lang="en-NZ" sz="1100">
              <a:solidFill>
                <a:schemeClr val="dk1"/>
              </a:solidFill>
              <a:effectLst/>
              <a:latin typeface="+mn-lt"/>
              <a:ea typeface="+mn-ea"/>
              <a:cs typeface="+mn-cs"/>
            </a:rPr>
            <a:t>. </a:t>
          </a:r>
        </a:p>
        <a:p>
          <a:r>
            <a:rPr lang="en-NZ" sz="1100">
              <a:solidFill>
                <a:schemeClr val="dk1"/>
              </a:solidFill>
              <a:effectLst/>
              <a:latin typeface="+mn-lt"/>
              <a:ea typeface="+mn-ea"/>
              <a:cs typeface="+mn-cs"/>
            </a:rPr>
            <a:t>Beef+Lamb New Zealand, 2024. </a:t>
          </a:r>
          <a:r>
            <a:rPr lang="en-NZ" sz="1100" i="1">
              <a:solidFill>
                <a:schemeClr val="dk1"/>
              </a:solidFill>
              <a:effectLst/>
              <a:latin typeface="+mn-lt"/>
              <a:ea typeface="+mn-ea"/>
              <a:cs typeface="+mn-cs"/>
            </a:rPr>
            <a:t>Sheep and beef farm survey: Eastern North Island, </a:t>
          </a:r>
          <a:r>
            <a:rPr lang="en-NZ" sz="1100">
              <a:solidFill>
                <a:schemeClr val="dk1"/>
              </a:solidFill>
              <a:effectLst/>
              <a:latin typeface="+mn-lt"/>
              <a:ea typeface="+mn-ea"/>
              <a:cs typeface="+mn-cs"/>
            </a:rPr>
            <a:t>economic service reports </a:t>
          </a:r>
        </a:p>
        <a:p>
          <a:r>
            <a:rPr lang="en-NZ" sz="1100">
              <a:solidFill>
                <a:schemeClr val="dk1"/>
              </a:solidFill>
              <a:effectLst/>
              <a:latin typeface="+mn-lt"/>
              <a:ea typeface="+mn-ea"/>
              <a:cs typeface="+mn-cs"/>
            </a:rPr>
            <a:t>Climate Change Commission, 2021. </a:t>
          </a:r>
          <a:r>
            <a:rPr lang="en-NZ"/>
            <a:t>Ināia tonu nei: a low emissions future for Aotearoa</a:t>
          </a:r>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DairyNZ, 2022. </a:t>
          </a:r>
          <a:r>
            <a:rPr lang="en-NZ" sz="1100" i="1">
              <a:solidFill>
                <a:schemeClr val="dk1"/>
              </a:solidFill>
              <a:effectLst/>
              <a:latin typeface="+mn-lt"/>
              <a:ea typeface="+mn-ea"/>
              <a:cs typeface="+mn-cs"/>
            </a:rPr>
            <a:t>Economic Survey 2020-2021, </a:t>
          </a:r>
          <a:r>
            <a:rPr lang="en-NZ" sz="1100">
              <a:solidFill>
                <a:schemeClr val="dk1"/>
              </a:solidFill>
              <a:effectLst/>
              <a:latin typeface="+mn-lt"/>
              <a:ea typeface="+mn-ea"/>
              <a:cs typeface="+mn-cs"/>
            </a:rPr>
            <a:t>results of a annual survey of New Zealand dairy farmers</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Forest Growers Research, 2023. Cost and Productivity Benchmarking Update 2022. </a:t>
          </a:r>
          <a:endParaRPr lang="en-NZ">
            <a:effectLst/>
          </a:endParaRPr>
        </a:p>
        <a:p>
          <a:r>
            <a:rPr lang="en-NZ" sz="1100">
              <a:solidFill>
                <a:schemeClr val="dk1"/>
              </a:solidFill>
              <a:effectLst/>
              <a:latin typeface="+mn-lt"/>
              <a:ea typeface="+mn-ea"/>
              <a:cs typeface="+mn-cs"/>
            </a:rPr>
            <a:t>Harrison and Bruce, 2019. </a:t>
          </a:r>
          <a:r>
            <a:rPr lang="en-NZ" sz="1100" i="1">
              <a:solidFill>
                <a:schemeClr val="dk1"/>
              </a:solidFill>
              <a:effectLst/>
              <a:latin typeface="+mn-lt"/>
              <a:ea typeface="+mn-ea"/>
              <a:cs typeface="+mn-cs"/>
            </a:rPr>
            <a:t>Socio-economic impacts of large-scale afforestation on rural communities in the Wairoa District</a:t>
          </a:r>
          <a:r>
            <a:rPr lang="en-NZ" sz="1100">
              <a:solidFill>
                <a:schemeClr val="dk1"/>
              </a:solidFill>
              <a:effectLst/>
              <a:latin typeface="+mn-lt"/>
              <a:ea typeface="+mn-ea"/>
              <a:cs typeface="+mn-cs"/>
            </a:rPr>
            <a:t>, Client Report</a:t>
          </a:r>
          <a:r>
            <a:rPr lang="en-NZ" sz="1100" i="1">
              <a:solidFill>
                <a:schemeClr val="dk1"/>
              </a:solidFill>
              <a:effectLst/>
              <a:latin typeface="+mn-lt"/>
              <a:ea typeface="+mn-ea"/>
              <a:cs typeface="+mn-cs"/>
            </a:rPr>
            <a:t> </a:t>
          </a:r>
          <a:r>
            <a:rPr lang="en-NZ" sz="1100">
              <a:solidFill>
                <a:schemeClr val="dk1"/>
              </a:solidFill>
              <a:effectLst/>
              <a:latin typeface="+mn-lt"/>
              <a:ea typeface="+mn-ea"/>
              <a:cs typeface="+mn-cs"/>
            </a:rPr>
            <a:t>for Beef+LambNZ</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Manley, 2021a. </a:t>
          </a:r>
          <a:r>
            <a:rPr lang="en-NZ" sz="1100" i="1">
              <a:solidFill>
                <a:schemeClr val="dk1"/>
              </a:solidFill>
              <a:effectLst/>
              <a:latin typeface="+mn-lt"/>
              <a:ea typeface="+mn-ea"/>
              <a:cs typeface="+mn-cs"/>
            </a:rPr>
            <a:t>Afforestation Economic Modelling,</a:t>
          </a:r>
          <a:r>
            <a:rPr lang="en-NZ" sz="1100">
              <a:solidFill>
                <a:schemeClr val="dk1"/>
              </a:solidFill>
              <a:effectLst/>
              <a:latin typeface="+mn-lt"/>
              <a:ea typeface="+mn-ea"/>
              <a:cs typeface="+mn-cs"/>
            </a:rPr>
            <a:t> Contract report for MPI</a:t>
          </a:r>
          <a:endParaRPr lang="en-NZ">
            <a:effectLst/>
          </a:endParaRPr>
        </a:p>
        <a:p>
          <a:r>
            <a:rPr lang="en-NZ" sz="1100">
              <a:solidFill>
                <a:schemeClr val="dk1"/>
              </a:solidFill>
              <a:effectLst/>
              <a:latin typeface="+mn-lt"/>
              <a:ea typeface="+mn-ea"/>
              <a:cs typeface="+mn-cs"/>
            </a:rPr>
            <a:t>Manley, 2021b. </a:t>
          </a:r>
          <a:r>
            <a:rPr lang="en-NZ" sz="1100" i="1">
              <a:solidFill>
                <a:schemeClr val="dk1"/>
              </a:solidFill>
              <a:effectLst/>
              <a:latin typeface="+mn-lt"/>
              <a:ea typeface="+mn-ea"/>
              <a:cs typeface="+mn-cs"/>
            </a:rPr>
            <a:t>Stumpage values across New Zealand,</a:t>
          </a:r>
          <a:r>
            <a:rPr lang="en-NZ" sz="1100">
              <a:solidFill>
                <a:schemeClr val="dk1"/>
              </a:solidFill>
              <a:effectLst/>
              <a:latin typeface="+mn-lt"/>
              <a:ea typeface="+mn-ea"/>
              <a:cs typeface="+mn-cs"/>
            </a:rPr>
            <a:t> Contract report for MPI</a:t>
          </a:r>
        </a:p>
        <a:p>
          <a:r>
            <a:rPr lang="en-NZ" sz="1100">
              <a:solidFill>
                <a:schemeClr val="dk1"/>
              </a:solidFill>
              <a:effectLst/>
              <a:latin typeface="+mn-lt"/>
              <a:ea typeface="+mn-ea"/>
              <a:cs typeface="+mn-cs"/>
            </a:rPr>
            <a:t>Manley, 2022. </a:t>
          </a:r>
          <a:r>
            <a:rPr lang="en-NZ" sz="1100" i="1">
              <a:solidFill>
                <a:schemeClr val="dk1"/>
              </a:solidFill>
              <a:effectLst/>
              <a:latin typeface="+mn-lt"/>
              <a:ea typeface="+mn-ea"/>
              <a:cs typeface="+mn-cs"/>
            </a:rPr>
            <a:t>Discount rates used for forest valuation – results of 2021 survey</a:t>
          </a:r>
          <a:r>
            <a:rPr lang="en-NZ" sz="1100">
              <a:solidFill>
                <a:schemeClr val="dk1"/>
              </a:solidFill>
              <a:effectLst/>
              <a:latin typeface="+mn-lt"/>
              <a:ea typeface="+mn-ea"/>
              <a:cs typeface="+mn-cs"/>
            </a:rPr>
            <a:t>, NZ Journal of Forestry, August 2022. </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Manley, 2024. </a:t>
          </a:r>
          <a:r>
            <a:rPr lang="en-NZ" sz="1100" i="1">
              <a:solidFill>
                <a:schemeClr val="dk1"/>
              </a:solidFill>
              <a:effectLst/>
              <a:latin typeface="+mn-lt"/>
              <a:ea typeface="+mn-ea"/>
              <a:cs typeface="+mn-cs"/>
            </a:rPr>
            <a:t>Discount rates used for forest valuation – results of 2023 survey</a:t>
          </a:r>
          <a:r>
            <a:rPr lang="en-NZ" sz="1100">
              <a:solidFill>
                <a:schemeClr val="dk1"/>
              </a:solidFill>
              <a:effectLst/>
              <a:latin typeface="+mn-lt"/>
              <a:ea typeface="+mn-ea"/>
              <a:cs typeface="+mn-cs"/>
            </a:rPr>
            <a:t>, NZ Journal of Forestry, August 2024. </a:t>
          </a:r>
          <a:endParaRPr lang="en-NZ">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Ministry for</a:t>
          </a:r>
          <a:r>
            <a:rPr lang="en-NZ" sz="1100" baseline="0">
              <a:solidFill>
                <a:schemeClr val="dk1"/>
              </a:solidFill>
              <a:effectLst/>
              <a:latin typeface="+mn-lt"/>
              <a:ea typeface="+mn-ea"/>
              <a:cs typeface="+mn-cs"/>
            </a:rPr>
            <a:t> Primary Industries, 2022. </a:t>
          </a:r>
          <a:r>
            <a:rPr lang="en-NZ" sz="1100" i="1" baseline="0">
              <a:solidFill>
                <a:schemeClr val="dk1"/>
              </a:solidFill>
              <a:effectLst/>
              <a:latin typeface="+mn-lt"/>
              <a:ea typeface="+mn-ea"/>
              <a:cs typeface="+mn-cs"/>
            </a:rPr>
            <a:t>Consultation on m</a:t>
          </a:r>
          <a:r>
            <a:rPr lang="en-NZ" sz="1100" b="0" i="1">
              <a:solidFill>
                <a:schemeClr val="dk1"/>
              </a:solidFill>
              <a:effectLst/>
              <a:latin typeface="+mn-lt"/>
              <a:ea typeface="+mn-ea"/>
              <a:cs typeface="+mn-cs"/>
            </a:rPr>
            <a:t>anaging exotic afforestation incentives by changing the forestry settings in the NZ Emissions Trading Scheme</a:t>
          </a:r>
          <a:r>
            <a:rPr lang="en-NZ" sz="1100" b="0" i="0">
              <a:solidFill>
                <a:schemeClr val="dk1"/>
              </a:solidFill>
              <a:effectLst/>
              <a:latin typeface="+mn-lt"/>
              <a:ea typeface="+mn-ea"/>
              <a:cs typeface="+mn-cs"/>
            </a:rPr>
            <a:t>, https://www.mpi.govt.nz/consultations/managing-exotic-afforestation-incentives</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Ministry for the Environment, 2024.</a:t>
          </a:r>
          <a:r>
            <a:rPr lang="en-NZ" sz="1100" i="1">
              <a:solidFill>
                <a:schemeClr val="dk1"/>
              </a:solidFill>
              <a:effectLst/>
              <a:latin typeface="+mn-lt"/>
              <a:ea typeface="+mn-ea"/>
              <a:cs typeface="+mn-cs"/>
            </a:rPr>
            <a:t> New Zealand's second emissions reduction plan 2026-30. Techniacl annex.</a:t>
          </a:r>
          <a:r>
            <a:rPr lang="en-NZ" sz="1100">
              <a:solidFill>
                <a:schemeClr val="dk1"/>
              </a:solidFill>
              <a:effectLst/>
              <a:latin typeface="+mn-lt"/>
              <a:ea typeface="+mn-ea"/>
              <a:cs typeface="+mn-cs"/>
            </a:rPr>
            <a:t> https://environment.govt.nz/assets/publications/climate-change/ERP2/New-Zealands-second-emissions-reduction-plan-2026-30-Technical-Annex.pdf</a:t>
          </a:r>
          <a:endParaRPr lang="en-NZ">
            <a:effectLst/>
          </a:endParaRPr>
        </a:p>
        <a:p>
          <a:r>
            <a:rPr lang="en-NZ" sz="1100">
              <a:solidFill>
                <a:schemeClr val="dk1"/>
              </a:solidFill>
              <a:effectLst/>
              <a:latin typeface="+mn-lt"/>
              <a:ea typeface="+mn-ea"/>
              <a:cs typeface="+mn-cs"/>
            </a:rPr>
            <a:t>PWC, 2020. </a:t>
          </a:r>
          <a:r>
            <a:rPr lang="en-NZ" sz="1100" i="1">
              <a:solidFill>
                <a:schemeClr val="dk1"/>
              </a:solidFill>
              <a:effectLst/>
              <a:latin typeface="+mn-lt"/>
              <a:ea typeface="+mn-ea"/>
              <a:cs typeface="+mn-cs"/>
            </a:rPr>
            <a:t>Economic Impact of Forestry in New Zealand, </a:t>
          </a:r>
          <a:r>
            <a:rPr lang="en-NZ" sz="1100">
              <a:solidFill>
                <a:schemeClr val="dk1"/>
              </a:solidFill>
              <a:effectLst/>
              <a:latin typeface="+mn-lt"/>
              <a:ea typeface="+mn-ea"/>
              <a:cs typeface="+mn-cs"/>
            </a:rPr>
            <a:t>Contract report for Te Uru Rākau – New Zealand Forest Service</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RBNZ, 2022. </a:t>
          </a:r>
          <a:r>
            <a:rPr lang="en-NZ" sz="1100" i="1">
              <a:solidFill>
                <a:schemeClr val="dk1"/>
              </a:solidFill>
              <a:effectLst/>
              <a:latin typeface="+mn-lt"/>
              <a:ea typeface="+mn-ea"/>
              <a:cs typeface="+mn-cs"/>
            </a:rPr>
            <a:t>Economic indicators (long-term inflation rate)</a:t>
          </a:r>
          <a:r>
            <a:rPr lang="en-NZ" sz="1100">
              <a:solidFill>
                <a:schemeClr val="dk1"/>
              </a:solidFill>
              <a:effectLst/>
              <a:latin typeface="+mn-lt"/>
              <a:ea typeface="+mn-ea"/>
              <a:cs typeface="+mn-cs"/>
            </a:rPr>
            <a:t>,</a:t>
          </a:r>
          <a:r>
            <a:rPr lang="en-NZ" sz="1100" baseline="0">
              <a:solidFill>
                <a:schemeClr val="dk1"/>
              </a:solidFill>
              <a:effectLst/>
              <a:latin typeface="+mn-lt"/>
              <a:ea typeface="+mn-ea"/>
              <a:cs typeface="+mn-cs"/>
            </a:rPr>
            <a:t> https://www.rbnz.govt.nz/statistics/key-statistics/economic-indicators</a:t>
          </a:r>
          <a:endParaRPr lang="en-N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REINZ, 2024. https://www.reinz.co.nz/libraryviewer?ResourceID=713</a:t>
          </a:r>
        </a:p>
        <a:p>
          <a:pPr marL="0" marR="0" lvl="0" indent="0" defTabSz="914400" eaLnBrk="1" fontAlgn="auto" latinLnBrk="0" hangingPunct="1">
            <a:lnSpc>
              <a:spcPct val="100000"/>
            </a:lnSpc>
            <a:spcBef>
              <a:spcPts val="0"/>
            </a:spcBef>
            <a:spcAft>
              <a:spcPts val="0"/>
            </a:spcAft>
            <a:buClrTx/>
            <a:buSzTx/>
            <a:buFontTx/>
            <a:buNone/>
            <a:tabLst/>
            <a:defRPr/>
          </a:pPr>
          <a:r>
            <a:rPr lang="en-NZ" sz="1100">
              <a:solidFill>
                <a:schemeClr val="dk1"/>
              </a:solidFill>
              <a:effectLst/>
              <a:latin typeface="+mn-lt"/>
              <a:ea typeface="+mn-ea"/>
              <a:cs typeface="+mn-cs"/>
            </a:rPr>
            <a:t>Weaver, 2023. Carbon economics of natural regeneration at scale, NZ Journal of Forestry</a:t>
          </a:r>
        </a:p>
        <a:p>
          <a:endParaRPr lang="en-NZ" sz="1100" i="1"/>
        </a:p>
      </xdr:txBody>
    </xdr:sp>
    <xdr:clientData/>
  </xdr:twoCellAnchor>
  <xdr:oneCellAnchor>
    <xdr:from>
      <xdr:col>0</xdr:col>
      <xdr:colOff>101600</xdr:colOff>
      <xdr:row>0</xdr:row>
      <xdr:rowOff>85724</xdr:rowOff>
    </xdr:from>
    <xdr:ext cx="3048000" cy="714375"/>
    <xdr:pic>
      <xdr:nvPicPr>
        <xdr:cNvPr id="4" name="image1.jpg" title="Image">
          <a:extLst>
            <a:ext uri="{FF2B5EF4-FFF2-40B4-BE49-F238E27FC236}">
              <a16:creationId xmlns:a16="http://schemas.microsoft.com/office/drawing/2014/main" id="{C9FBB7B7-5564-41AF-BE4C-6791B55B81DE}"/>
            </a:ext>
          </a:extLst>
        </xdr:cNvPr>
        <xdr:cNvPicPr preferRelativeResize="0"/>
      </xdr:nvPicPr>
      <xdr:blipFill>
        <a:blip xmlns:r="http://schemas.openxmlformats.org/officeDocument/2006/relationships" r:embed="rId1" cstate="print"/>
        <a:stretch>
          <a:fillRect/>
        </a:stretch>
      </xdr:blipFill>
      <xdr:spPr>
        <a:xfrm>
          <a:off x="101600" y="85724"/>
          <a:ext cx="3048000" cy="714375"/>
        </a:xfrm>
        <a:prstGeom prst="rect">
          <a:avLst/>
        </a:prstGeom>
        <a:noFill/>
        <a:ln w="3175">
          <a:solidFill>
            <a:srgbClr val="000000"/>
          </a:solidFill>
        </a:ln>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27</xdr:col>
      <xdr:colOff>330200</xdr:colOff>
      <xdr:row>12</xdr:row>
      <xdr:rowOff>163576</xdr:rowOff>
    </xdr:from>
    <xdr:to>
      <xdr:col>34</xdr:col>
      <xdr:colOff>297438</xdr:colOff>
      <xdr:row>29</xdr:row>
      <xdr:rowOff>40732</xdr:rowOff>
    </xdr:to>
    <xdr:pic>
      <xdr:nvPicPr>
        <xdr:cNvPr id="2" name="Picture 1">
          <a:extLst>
            <a:ext uri="{FF2B5EF4-FFF2-40B4-BE49-F238E27FC236}">
              <a16:creationId xmlns:a16="http://schemas.microsoft.com/office/drawing/2014/main" id="{7D7379E8-5193-2F39-F330-13173E02E637}"/>
            </a:ext>
          </a:extLst>
        </xdr:cNvPr>
        <xdr:cNvPicPr>
          <a:picLocks noChangeAspect="1"/>
        </xdr:cNvPicPr>
      </xdr:nvPicPr>
      <xdr:blipFill>
        <a:blip xmlns:r="http://schemas.openxmlformats.org/officeDocument/2006/relationships" r:embed="rId1"/>
        <a:stretch>
          <a:fillRect/>
        </a:stretch>
      </xdr:blipFill>
      <xdr:spPr>
        <a:xfrm>
          <a:off x="18942050" y="2335276"/>
          <a:ext cx="5625088" cy="2953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82550</xdr:colOff>
      <xdr:row>15</xdr:row>
      <xdr:rowOff>152400</xdr:rowOff>
    </xdr:from>
    <xdr:to>
      <xdr:col>10</xdr:col>
      <xdr:colOff>533399</xdr:colOff>
      <xdr:row>28</xdr:row>
      <xdr:rowOff>133351</xdr:rowOff>
    </xdr:to>
    <xdr:sp macro="" textlink="">
      <xdr:nvSpPr>
        <xdr:cNvPr id="2" name="TextBox 1">
          <a:extLst>
            <a:ext uri="{FF2B5EF4-FFF2-40B4-BE49-F238E27FC236}">
              <a16:creationId xmlns:a16="http://schemas.microsoft.com/office/drawing/2014/main" id="{7AA43176-6DBB-3578-4330-E8E70505E5D9}"/>
            </a:ext>
          </a:extLst>
        </xdr:cNvPr>
        <xdr:cNvSpPr txBox="1"/>
      </xdr:nvSpPr>
      <xdr:spPr>
        <a:xfrm>
          <a:off x="5226050" y="2867025"/>
          <a:ext cx="5727699" cy="233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mn-lt"/>
              <a:ea typeface="+mn-ea"/>
              <a:cs typeface="+mn-cs"/>
            </a:rPr>
            <a:t>Notes</a:t>
          </a:r>
        </a:p>
        <a:p>
          <a:r>
            <a:rPr lang="en-NZ" sz="1100" b="0" i="0" u="none" strike="noStrike">
              <a:solidFill>
                <a:schemeClr val="dk1"/>
              </a:solidFill>
              <a:effectLst/>
              <a:latin typeface="+mn-lt"/>
              <a:ea typeface="+mn-ea"/>
              <a:cs typeface="+mn-cs"/>
            </a:rPr>
            <a:t>*Initially emissions from afforestation rise because there are net emissions from land clearance and soil disturbance for afforestation.</a:t>
          </a:r>
          <a:r>
            <a:rPr lang="en-NZ"/>
            <a:t> </a:t>
          </a:r>
        </a:p>
        <a:p>
          <a:r>
            <a:rPr lang="en-NZ" sz="1100" b="0" i="0" u="none" strike="noStrike">
              <a:solidFill>
                <a:schemeClr val="dk1"/>
              </a:solidFill>
              <a:effectLst/>
              <a:latin typeface="+mn-lt"/>
              <a:ea typeface="+mn-ea"/>
              <a:cs typeface="+mn-cs"/>
            </a:rPr>
            <a:t>Emissions are modelled by the ENZ model as described in ERP2 technical annex.</a:t>
          </a:r>
          <a:r>
            <a:rPr lang="en-NZ"/>
            <a:t> </a:t>
          </a:r>
          <a:r>
            <a:rPr lang="en-NZ" sz="1100" b="0" i="0" u="none" strike="noStrike">
              <a:solidFill>
                <a:schemeClr val="dk1"/>
              </a:solidFill>
              <a:effectLst/>
              <a:latin typeface="+mn-lt"/>
              <a:ea typeface="+mn-ea"/>
              <a:cs typeface="+mn-cs"/>
            </a:rPr>
            <a:t>Quantum of land planted is set to provide 5mt of removals in 2050 to offset long-lived gasses outside of the ETS.</a:t>
          </a:r>
          <a:r>
            <a:rPr lang="en-NZ"/>
            <a:t> </a:t>
          </a:r>
        </a:p>
        <a:p>
          <a:r>
            <a:rPr lang="en-NZ" sz="1100" b="0" i="0" u="none" strike="noStrike">
              <a:solidFill>
                <a:schemeClr val="dk1"/>
              </a:solidFill>
              <a:effectLst/>
              <a:latin typeface="+mn-lt"/>
              <a:ea typeface="+mn-ea"/>
              <a:cs typeface="+mn-cs"/>
            </a:rPr>
            <a:t>At least 320,000 hectares of Crown-owned land has the biophysical factors required for afforestation (e.g., altitude/slope/rainfall) and is free of other constraints that may limit the Crown’s ability to offer it for partnership. </a:t>
          </a:r>
        </a:p>
        <a:p>
          <a:r>
            <a:rPr lang="en-NZ" sz="1100" b="0" i="0" u="none" strike="noStrike">
              <a:solidFill>
                <a:schemeClr val="dk1"/>
              </a:solidFill>
              <a:effectLst/>
              <a:latin typeface="+mn-lt"/>
              <a:ea typeface="+mn-ea"/>
              <a:cs typeface="+mn-cs"/>
            </a:rPr>
            <a:t>Market engagement will improve understanding of the factorsthat will drive private sector interest and support successful implementation.</a:t>
          </a:r>
          <a:r>
            <a:rPr lang="en-NZ"/>
            <a:t> </a:t>
          </a:r>
          <a:r>
            <a:rPr lang="en-NZ" sz="1100" b="0" i="0" u="none" strike="noStrike">
              <a:solidFill>
                <a:schemeClr val="dk1"/>
              </a:solidFill>
              <a:effectLst/>
              <a:latin typeface="+mn-lt"/>
              <a:ea typeface="+mn-ea"/>
              <a:cs typeface="+mn-cs"/>
            </a:rPr>
            <a:t>Cashflows have not been analysed to ensure ETS returns received annually fund afforestation year to year throughout the timeseries.</a:t>
          </a:r>
          <a:r>
            <a:rPr lang="en-NZ"/>
            <a:t> </a:t>
          </a:r>
          <a:endParaRPr lang="en-NZ" sz="1100"/>
        </a:p>
      </xdr:txBody>
    </xdr:sp>
    <xdr:clientData/>
  </xdr:twoCellAnchor>
  <xdr:twoCellAnchor>
    <xdr:from>
      <xdr:col>4</xdr:col>
      <xdr:colOff>63500</xdr:colOff>
      <xdr:row>36</xdr:row>
      <xdr:rowOff>133350</xdr:rowOff>
    </xdr:from>
    <xdr:to>
      <xdr:col>10</xdr:col>
      <xdr:colOff>530225</xdr:colOff>
      <xdr:row>45</xdr:row>
      <xdr:rowOff>85725</xdr:rowOff>
    </xdr:to>
    <xdr:sp macro="" textlink="">
      <xdr:nvSpPr>
        <xdr:cNvPr id="3" name="TextBox 2">
          <a:extLst>
            <a:ext uri="{FF2B5EF4-FFF2-40B4-BE49-F238E27FC236}">
              <a16:creationId xmlns:a16="http://schemas.microsoft.com/office/drawing/2014/main" id="{33317835-1213-4BAE-8B82-EBFC05629D12}"/>
            </a:ext>
          </a:extLst>
        </xdr:cNvPr>
        <xdr:cNvSpPr txBox="1"/>
      </xdr:nvSpPr>
      <xdr:spPr>
        <a:xfrm>
          <a:off x="5207000" y="6648450"/>
          <a:ext cx="5743575"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mn-lt"/>
              <a:ea typeface="+mn-ea"/>
              <a:cs typeface="+mn-cs"/>
            </a:rPr>
            <a:t>Notes</a:t>
          </a:r>
        </a:p>
        <a:p>
          <a:r>
            <a:rPr lang="en-NZ" sz="1100" b="0" i="0" u="none" strike="noStrike">
              <a:solidFill>
                <a:schemeClr val="dk1"/>
              </a:solidFill>
              <a:effectLst/>
              <a:latin typeface="+mn-lt"/>
              <a:ea typeface="+mn-ea"/>
              <a:cs typeface="+mn-cs"/>
            </a:rPr>
            <a:t>High native afforestation cost (from Aotearoa Circle, Native Forests: Resetting the balance) is assumed. Note some estimates are higher.</a:t>
          </a:r>
          <a:r>
            <a:rPr lang="en-NZ"/>
            <a:t> </a:t>
          </a:r>
        </a:p>
        <a:p>
          <a:r>
            <a:rPr lang="en-NZ" sz="1100" b="0" i="0" u="none" strike="noStrike">
              <a:solidFill>
                <a:schemeClr val="dk1"/>
              </a:solidFill>
              <a:effectLst/>
              <a:latin typeface="+mn-lt"/>
              <a:ea typeface="+mn-ea"/>
              <a:cs typeface="+mn-cs"/>
            </a:rPr>
            <a:t>The scenario assumes forests in the ETS are permanent exotic forests. Although, the type of forest planted will depend on land suitability and requirements for ongoing management.</a:t>
          </a:r>
          <a:r>
            <a:rPr lang="en-NZ"/>
            <a:t> </a:t>
          </a:r>
        </a:p>
        <a:p>
          <a:r>
            <a:rPr lang="en-NZ" sz="1100" b="0" i="0" u="none" strike="noStrike">
              <a:solidFill>
                <a:schemeClr val="dk1"/>
              </a:solidFill>
              <a:effectLst/>
              <a:latin typeface="+mn-lt"/>
              <a:ea typeface="+mn-ea"/>
              <a:cs typeface="+mn-cs"/>
            </a:rPr>
            <a:t>The scenario assumes harvest returns alone are attractive to investors for production forests (e.g., no ETS). 50,000 ha has been identified as potentially suitable for production forestry. Actual harvest returns will be site specific.</a:t>
          </a:r>
          <a:r>
            <a:rPr lang="en-NZ"/>
            <a:t> </a:t>
          </a:r>
          <a:endParaRPr lang="en-NZ" sz="1100" b="1" i="0" u="none" strike="noStrike">
            <a:solidFill>
              <a:schemeClr val="dk1"/>
            </a:solidFill>
            <a:effectLst/>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CD14-9893-4388-82BE-B3B6568A7536}">
  <sheetPr>
    <tabColor theme="5" tint="0.39997558519241921"/>
  </sheetPr>
  <dimension ref="A1"/>
  <sheetViews>
    <sheetView topLeftCell="A37" workbookViewId="0">
      <selection activeCell="L36" sqref="L36"/>
    </sheetView>
  </sheetViews>
  <sheetFormatPr defaultRowHeight="14.5" x14ac:dyDescent="0.3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CC7D-4B6E-41C9-8D8C-FC520C6BF578}">
  <sheetPr>
    <tabColor theme="7" tint="0.39997558519241921"/>
  </sheetPr>
  <dimension ref="A1:AJ237"/>
  <sheetViews>
    <sheetView workbookViewId="0">
      <selection activeCell="S48" sqref="S48"/>
    </sheetView>
  </sheetViews>
  <sheetFormatPr defaultRowHeight="14.5" x14ac:dyDescent="0.35"/>
  <cols>
    <col min="1" max="1" width="8.7265625" style="276" customWidth="1"/>
    <col min="2" max="2" width="6.453125" style="276" customWidth="1"/>
    <col min="3" max="3" width="8.7265625" style="276" customWidth="1"/>
    <col min="12" max="12" width="9.26953125" bestFit="1" customWidth="1"/>
    <col min="15" max="15" width="11.1796875" bestFit="1" customWidth="1"/>
    <col min="16" max="16" width="11" bestFit="1" customWidth="1"/>
    <col min="22" max="22" width="11.1796875" bestFit="1" customWidth="1"/>
    <col min="23" max="25" width="12.1796875" bestFit="1" customWidth="1"/>
    <col min="26" max="26" width="13.54296875" bestFit="1" customWidth="1"/>
    <col min="27" max="27" width="12.1796875" bestFit="1" customWidth="1"/>
    <col min="29" max="30" width="11.1796875" bestFit="1" customWidth="1"/>
    <col min="31" max="32" width="13.54296875" bestFit="1" customWidth="1"/>
    <col min="33" max="33" width="12.1796875" bestFit="1" customWidth="1"/>
    <col min="34" max="34" width="11.1796875" bestFit="1" customWidth="1"/>
    <col min="35" max="35" width="11.54296875" bestFit="1" customWidth="1"/>
    <col min="36" max="36" width="13.453125" bestFit="1" customWidth="1"/>
    <col min="37" max="37" width="10.1796875" bestFit="1" customWidth="1"/>
    <col min="38" max="39" width="12" bestFit="1" customWidth="1"/>
  </cols>
  <sheetData>
    <row r="1" spans="1:36" x14ac:dyDescent="0.35">
      <c r="A1"/>
      <c r="B1"/>
      <c r="C1"/>
      <c r="M1" s="350" t="s">
        <v>0</v>
      </c>
      <c r="N1" s="350"/>
      <c r="O1" s="350"/>
      <c r="P1" s="350"/>
      <c r="Q1" s="350"/>
      <c r="R1" s="350"/>
      <c r="S1" s="350"/>
      <c r="T1" s="350"/>
      <c r="U1" s="350"/>
      <c r="V1" s="350"/>
      <c r="W1" s="350"/>
      <c r="X1" s="350"/>
      <c r="Y1" s="350"/>
      <c r="Z1" s="350"/>
      <c r="AA1" s="350"/>
      <c r="AB1" s="350"/>
      <c r="AC1" s="350"/>
      <c r="AD1" s="350"/>
      <c r="AE1" s="350"/>
      <c r="AF1" s="350"/>
      <c r="AG1" s="350"/>
      <c r="AH1" s="350"/>
      <c r="AI1" s="350"/>
      <c r="AJ1" s="350"/>
    </row>
    <row r="2" spans="1:36" x14ac:dyDescent="0.35">
      <c r="A2" s="351" t="s">
        <v>1</v>
      </c>
      <c r="B2" s="351"/>
      <c r="C2" s="351"/>
      <c r="D2" s="351"/>
      <c r="E2" s="351"/>
      <c r="F2" s="351"/>
      <c r="G2" s="351"/>
      <c r="H2" s="351"/>
      <c r="I2" s="351"/>
      <c r="J2" s="351"/>
      <c r="K2" s="351"/>
      <c r="M2" s="347" t="s">
        <v>2</v>
      </c>
      <c r="N2" s="348"/>
      <c r="O2" s="348"/>
      <c r="P2" s="348"/>
      <c r="Q2" s="348"/>
      <c r="R2" s="349"/>
      <c r="S2" s="352" t="s">
        <v>3</v>
      </c>
      <c r="T2" s="352"/>
      <c r="U2" s="352"/>
      <c r="V2" s="352" t="s">
        <v>4</v>
      </c>
      <c r="W2" s="352"/>
      <c r="X2" s="352"/>
      <c r="Y2" s="352" t="s">
        <v>5</v>
      </c>
      <c r="Z2" s="352"/>
      <c r="AA2" s="352"/>
      <c r="AB2" s="341" t="s">
        <v>6</v>
      </c>
      <c r="AC2" s="342"/>
      <c r="AD2" s="343"/>
      <c r="AE2" s="341" t="s">
        <v>7</v>
      </c>
      <c r="AF2" s="342"/>
      <c r="AG2" s="343"/>
      <c r="AH2" s="341" t="s">
        <v>8</v>
      </c>
      <c r="AI2" s="342"/>
      <c r="AJ2" s="343"/>
    </row>
    <row r="3" spans="1:36" x14ac:dyDescent="0.35">
      <c r="A3" s="37" t="s">
        <v>9</v>
      </c>
      <c r="B3" s="37" t="s">
        <v>10</v>
      </c>
      <c r="C3" s="37" t="s">
        <v>11</v>
      </c>
      <c r="D3" s="37" t="s">
        <v>12</v>
      </c>
      <c r="E3" s="37" t="s">
        <v>13</v>
      </c>
      <c r="F3" s="217" t="s">
        <v>14</v>
      </c>
      <c r="G3" s="37" t="s">
        <v>15</v>
      </c>
      <c r="H3" s="37" t="s">
        <v>16</v>
      </c>
      <c r="I3" s="37" t="s">
        <v>17</v>
      </c>
      <c r="J3" s="37" t="s">
        <v>18</v>
      </c>
      <c r="K3" s="37" t="s">
        <v>19</v>
      </c>
      <c r="M3" s="61" t="str">
        <f>B3</f>
        <v>A</v>
      </c>
      <c r="N3" s="61" t="str">
        <f>F3</f>
        <v>K grades (calculated)</v>
      </c>
      <c r="O3" s="61" t="str">
        <f>G3</f>
        <v>S1/S2</v>
      </c>
      <c r="P3" s="61" t="str">
        <f>H3</f>
        <v>S3</v>
      </c>
      <c r="Q3" s="61" t="str">
        <f>I3</f>
        <v>L</v>
      </c>
      <c r="R3" s="61" t="str">
        <f>J3</f>
        <v>Pulp</v>
      </c>
      <c r="S3" s="36" t="s">
        <v>20</v>
      </c>
      <c r="T3" s="36" t="s">
        <v>21</v>
      </c>
      <c r="U3" s="36" t="s">
        <v>22</v>
      </c>
      <c r="V3" s="61" t="s">
        <v>20</v>
      </c>
      <c r="W3" s="61" t="s">
        <v>21</v>
      </c>
      <c r="X3" s="61" t="s">
        <v>22</v>
      </c>
      <c r="Y3" s="61" t="s">
        <v>20</v>
      </c>
      <c r="Z3" s="61" t="s">
        <v>21</v>
      </c>
      <c r="AA3" s="61" t="s">
        <v>22</v>
      </c>
      <c r="AB3" s="61" t="s">
        <v>20</v>
      </c>
      <c r="AC3" s="61" t="s">
        <v>21</v>
      </c>
      <c r="AD3" s="61" t="s">
        <v>22</v>
      </c>
      <c r="AE3" s="61" t="s">
        <v>20</v>
      </c>
      <c r="AF3" s="61" t="s">
        <v>21</v>
      </c>
      <c r="AG3" s="61" t="s">
        <v>22</v>
      </c>
      <c r="AH3" s="61" t="s">
        <v>20</v>
      </c>
      <c r="AI3" s="61" t="s">
        <v>21</v>
      </c>
      <c r="AJ3" s="61" t="s">
        <v>22</v>
      </c>
    </row>
    <row r="4" spans="1:36" x14ac:dyDescent="0.35">
      <c r="A4" s="127" t="s">
        <v>24</v>
      </c>
      <c r="B4">
        <v>193</v>
      </c>
      <c r="C4">
        <v>192</v>
      </c>
      <c r="D4">
        <v>32</v>
      </c>
      <c r="E4">
        <v>82</v>
      </c>
      <c r="F4" s="217">
        <f>E4+D4+C4</f>
        <v>306</v>
      </c>
      <c r="G4">
        <v>64</v>
      </c>
      <c r="H4">
        <v>48</v>
      </c>
      <c r="I4">
        <v>32</v>
      </c>
      <c r="J4">
        <v>82</v>
      </c>
      <c r="K4" s="56">
        <v>726</v>
      </c>
      <c r="M4" s="166" t="e">
        <f>(K30*(VLOOKUP(K$29,$O$16:$P$25,2,FALSE)))*(VLOOKUP(#REF!,$A$61:$I$64,10,FALSE))</f>
        <v>#REF!</v>
      </c>
      <c r="N4" s="167" t="e">
        <f>(L30*(VLOOKUP(L$29,$O$16:$P$25,2,FALSE)))*(VLOOKUP(#REF!,$A$61:$I$64,10,FALSE))</f>
        <v>#REF!</v>
      </c>
      <c r="O4" s="167" t="e">
        <f>(M30*(VLOOKUP(M$29,$O$16:$P$25,2,FALSE)))*(VLOOKUP(#REF!,$A$61:$I$64,10,FALSE))</f>
        <v>#REF!</v>
      </c>
      <c r="P4" s="167" t="e">
        <f>(N30*(VLOOKUP(N$29,$O$16:$P$25,2,FALSE)))*(VLOOKUP(#REF!,$A$61:$I$64,10,FALSE))</f>
        <v>#REF!</v>
      </c>
      <c r="Q4" s="167" t="e">
        <f>(O30*(VLOOKUP(O$29,$O$16:$P$25,2,FALSE)))*(VLOOKUP(#REF!,$A$61:$I$64,10,FALSE))</f>
        <v>#REF!</v>
      </c>
      <c r="R4" s="168" t="e">
        <f>(P30*(VLOOKUP(P$29,$O$16:$P$25,2,FALSE)))*(VLOOKUP(#REF!,$A$61:$I$64,10,FALSE))</f>
        <v>#REF!</v>
      </c>
      <c r="S4" s="277" t="e">
        <f>SUM(M4:R4)</f>
        <v>#REF!</v>
      </c>
      <c r="T4" s="178" t="e">
        <f>$S4*(VLOOKUP(A4&amp;T$3,$A$16:$H$51,9,FALSE ))</f>
        <v>#REF!</v>
      </c>
      <c r="U4" s="178" t="e">
        <f>$S4*(VLOOKUP(A4&amp;U$3,$A$16:$H$51,9,FALSE ))</f>
        <v>#REF!</v>
      </c>
      <c r="V4" s="169" t="e">
        <f>VLOOKUP(VLOOKUP($A4&amp;V$3,$A$16:$H$51,8,FALSE),$K$42:$M$237,#REF!,FALSE)*(VLOOKUP($A4&amp;V$3,$A$16:$H$51,8,FALSE)*($R$16*Q30))</f>
        <v>#N/A</v>
      </c>
      <c r="W4" s="170" t="e">
        <f>VLOOKUP(VLOOKUP($A4&amp;W$3,$A$16:$H$51,8,FALSE),$K$42:$M$237,#REF!,FALSE)*(VLOOKUP($A4&amp;W$3,$A$16:$H$51,8,FALSE)*($R$16*R30))</f>
        <v>#N/A</v>
      </c>
      <c r="X4" s="170" t="e">
        <f>VLOOKUP(VLOOKUP($A4&amp;X$3,$A$16:$H$51,8,FALSE),$K$42:$M$237,#REF!,FALSE)*(VLOOKUP($A4&amp;X$3,$A$16:$H$51,8,FALSE)*($R$16*S30))</f>
        <v>#N/A</v>
      </c>
      <c r="Y4" s="169" t="e">
        <f t="shared" ref="Y4:Y12" si="0">($R$16*Q30)*(IF(S45&gt;0,S45+$R45,W45+$V45))</f>
        <v>#N/A</v>
      </c>
      <c r="Z4" s="170" t="e">
        <f t="shared" ref="Z4:Z12" si="1">($R$16*R30)*(IF(T45&gt;0,T45+$R45,X45+$V45))</f>
        <v>#N/A</v>
      </c>
      <c r="AA4" s="171" t="e">
        <f t="shared" ref="AA4:AA12" si="2">($R$16*S30)*(IF(U45&gt;0,U45+$R45,Y45+$V45))</f>
        <v>#N/A</v>
      </c>
      <c r="AB4" s="167" t="e">
        <f>(IF((VLOOKUP($A4&amp;Y$3,$A$16:$H$51,6,FALSE))&lt;$U$17,$S$16,IF((VLOOKUP($A4&amp;Y$3,$A$16:$H$51,6,FALSE))&lt;$U$18,$S$17,$S$18)))</f>
        <v>#N/A</v>
      </c>
      <c r="AC4" s="167" t="e">
        <f>(IF((VLOOKUP($A4&amp;Z$3,$A$16:$H$51,6,FALSE))&lt;$U$17,$S$16,IF((VLOOKUP($A4&amp;Z$3,$A$16:$H$51,6,FALSE))&lt;$U$18,$S$17,$S$18)))</f>
        <v>#N/A</v>
      </c>
      <c r="AD4" s="168" t="e">
        <f>(IF((VLOOKUP($A4&amp;AA$3,$A$16:$H$51,6,FALSE))&lt;$U$17,$S$16,IF((VLOOKUP($A4&amp;AA$3,$A$16:$H$51,6,FALSE))&lt;$U$18,$S$17,$S$18)))</f>
        <v>#N/A</v>
      </c>
      <c r="AE4" s="172" t="e">
        <f>($T$17)*(VLOOKUP($A4&amp;AE$3,$A$16:$H$51,7,FALSE ))</f>
        <v>#N/A</v>
      </c>
      <c r="AF4" s="172" t="e">
        <f>($T$18)*(VLOOKUP($A4&amp;AF$3,$A$16:$H$51,7,FALSE ))</f>
        <v>#N/A</v>
      </c>
      <c r="AG4" s="172" t="e">
        <f>($T$16)*(VLOOKUP($A4&amp;AG$3,$A$16:$H$51,7,FALSE ))</f>
        <v>#N/A</v>
      </c>
      <c r="AH4" s="166">
        <f>($R$16*Q30)*(VLOOKUP(AH$3,$Q$16:$V$18,6,FALSE ))</f>
        <v>3630</v>
      </c>
      <c r="AI4" s="167" t="e">
        <f t="shared" ref="AI4:AI12" si="3">($R$16*R30)*(VLOOKUP(AI$3,$Q$16:$V$18,6,FALSE ))</f>
        <v>#N/A</v>
      </c>
      <c r="AJ4" s="168" t="e">
        <f t="shared" ref="AJ4:AJ12" si="4">($R$16*S30)*(VLOOKUP(AJ$3,$Q$16:$V$18,6,FALSE ))</f>
        <v>#N/A</v>
      </c>
    </row>
    <row r="5" spans="1:36" x14ac:dyDescent="0.35">
      <c r="A5" s="127" t="s">
        <v>26</v>
      </c>
      <c r="B5">
        <v>198</v>
      </c>
      <c r="C5">
        <v>211</v>
      </c>
      <c r="D5">
        <v>33</v>
      </c>
      <c r="E5">
        <v>88</v>
      </c>
      <c r="F5" s="218">
        <f t="shared" ref="F5:F12" si="5">E5+D5+C5</f>
        <v>332</v>
      </c>
      <c r="G5">
        <v>66</v>
      </c>
      <c r="H5">
        <v>53</v>
      </c>
      <c r="I5">
        <v>33</v>
      </c>
      <c r="J5">
        <v>88</v>
      </c>
      <c r="K5" s="58">
        <v>769</v>
      </c>
      <c r="M5" s="174" t="e">
        <f>(K31*(VLOOKUP(K$29,$O$16:$P$25,2,FALSE)))*(VLOOKUP(#REF!,$A$61:$I$64,10,FALSE))</f>
        <v>#REF!</v>
      </c>
      <c r="N5" s="175" t="e">
        <f>(L31*(VLOOKUP(L$29,$O$16:$P$25,2,FALSE)))*(VLOOKUP(#REF!,$A$61:$I$64,10,FALSE))</f>
        <v>#REF!</v>
      </c>
      <c r="O5" s="175" t="e">
        <f>(M31*(VLOOKUP(M$29,$O$16:$P$25,2,FALSE)))*(VLOOKUP(#REF!,$A$61:$I$64,10,FALSE))</f>
        <v>#REF!</v>
      </c>
      <c r="P5" s="175" t="e">
        <f>(N31*(VLOOKUP(N$29,$O$16:$P$25,2,FALSE)))*(VLOOKUP(#REF!,$A$61:$I$64,10,FALSE))</f>
        <v>#REF!</v>
      </c>
      <c r="Q5" s="175" t="e">
        <f>(O31*(VLOOKUP(O$29,$O$16:$P$25,2,FALSE)))*(VLOOKUP(#REF!,$A$61:$I$64,10,FALSE))</f>
        <v>#REF!</v>
      </c>
      <c r="R5" s="176" t="e">
        <f>(P31*(VLOOKUP(P$29,$O$16:$P$25,2,FALSE)))*(VLOOKUP(#REF!,$A$61:$I$64,10,FALSE))</f>
        <v>#REF!</v>
      </c>
      <c r="S5" s="277" t="e">
        <f>SUM(M5:R5)</f>
        <v>#REF!</v>
      </c>
      <c r="T5" s="178" t="e">
        <f>$S5*(VLOOKUP(A5&amp;T$3,$A$16:$H$51,9,FALSE ))</f>
        <v>#REF!</v>
      </c>
      <c r="U5" s="178" t="e">
        <f>$S5*(VLOOKUP(A5&amp;U$3,$A$16:$H$51,9,FALSE ))</f>
        <v>#REF!</v>
      </c>
      <c r="V5" s="177" t="e">
        <f>VLOOKUP(VLOOKUP($A5&amp;V$3,$A$16:$H$51,8,FALSE),$K$42:$M$237,#REF!,FALSE)*(VLOOKUP($A5&amp;V$3,$A$16:$H$51,8,FALSE)*($R$16*Q31))</f>
        <v>#N/A</v>
      </c>
      <c r="W5" s="178" t="e">
        <f>VLOOKUP(VLOOKUP($A5&amp;W$3,$A$16:$H$51,8,FALSE),$K$42:$M$237,#REF!,FALSE)*(VLOOKUP($A5&amp;W$3,$A$16:$H$51,8,FALSE)*($R$16*R31))</f>
        <v>#N/A</v>
      </c>
      <c r="X5" s="178" t="e">
        <f>VLOOKUP(VLOOKUP($A5&amp;X$3,$A$16:$H$51,8,FALSE),$K$42:$M$237,#REF!,FALSE)*(VLOOKUP($A5&amp;X$3,$A$16:$H$51,8,FALSE)*($R$16*S31))</f>
        <v>#N/A</v>
      </c>
      <c r="Y5" s="177" t="e">
        <f t="shared" si="0"/>
        <v>#N/A</v>
      </c>
      <c r="Z5" s="178" t="e">
        <f t="shared" si="1"/>
        <v>#N/A</v>
      </c>
      <c r="AA5" s="179" t="e">
        <f t="shared" si="2"/>
        <v>#N/A</v>
      </c>
      <c r="AB5" s="175" t="e">
        <f>(IF((VLOOKUP($A5&amp;Y$3,$A$16:$H$51,6,FALSE))&lt;$U$17,$S$16,IF((VLOOKUP($A5&amp;Y$3,$A$16:$H$51,6,FALSE))&lt;$U$18,$S$17,$S$18)))</f>
        <v>#N/A</v>
      </c>
      <c r="AC5" s="175" t="e">
        <f>(IF((VLOOKUP($A5&amp;Z$3,$A$16:$H$51,6,FALSE))&lt;$U$17,$S$16,IF((VLOOKUP($A5&amp;Z$3,$A$16:$H$51,6,FALSE))&lt;$U$18,$S$17,$S$18)))</f>
        <v>#N/A</v>
      </c>
      <c r="AD5" s="176" t="e">
        <f>(IF((VLOOKUP($A5&amp;AA$3,$A$16:$H$51,6,FALSE))&lt;$U$17,$S$16,IF((VLOOKUP($A5&amp;AA$3,$A$16:$H$51,6,FALSE))&lt;$U$18,$S$17,$S$18)))</f>
        <v>#N/A</v>
      </c>
      <c r="AE5" s="180" t="e">
        <f>($T$17)*(VLOOKUP($A5&amp;AE$3,$A$16:$H$51,7,FALSE ))</f>
        <v>#N/A</v>
      </c>
      <c r="AF5" s="180" t="e">
        <f>($T$18)*(VLOOKUP($A5&amp;AF$3,$A$16:$H$51,7,FALSE ))</f>
        <v>#N/A</v>
      </c>
      <c r="AG5" s="180" t="e">
        <f>($T$16)*(VLOOKUP($A5&amp;AG$3,$A$16:$H$51,7,FALSE ))</f>
        <v>#N/A</v>
      </c>
      <c r="AH5" s="174">
        <f t="shared" ref="AH5:AH12" si="6">($R$16*Q31)*(VLOOKUP(AH$3,$Q$16:$V$18,6,FALSE ))</f>
        <v>3845</v>
      </c>
      <c r="AI5" s="175" t="e">
        <f t="shared" si="3"/>
        <v>#N/A</v>
      </c>
      <c r="AJ5" s="176" t="e">
        <f t="shared" si="4"/>
        <v>#N/A</v>
      </c>
    </row>
    <row r="6" spans="1:36" x14ac:dyDescent="0.35">
      <c r="A6" s="127" t="s">
        <v>27</v>
      </c>
      <c r="B6">
        <v>214</v>
      </c>
      <c r="C6">
        <v>200</v>
      </c>
      <c r="D6">
        <v>36</v>
      </c>
      <c r="E6">
        <v>89</v>
      </c>
      <c r="F6" s="218">
        <f t="shared" si="5"/>
        <v>325</v>
      </c>
      <c r="G6">
        <v>71</v>
      </c>
      <c r="H6">
        <v>50</v>
      </c>
      <c r="I6">
        <v>36</v>
      </c>
      <c r="J6">
        <v>89</v>
      </c>
      <c r="K6" s="58">
        <v>784</v>
      </c>
      <c r="M6" s="174" t="e">
        <f>(K32*(VLOOKUP(K$29,$O$16:$P$25,2,FALSE)))*(VLOOKUP(#REF!,$A$61:$I$64,10,FALSE))</f>
        <v>#REF!</v>
      </c>
      <c r="N6" s="175" t="e">
        <f>(L32*(VLOOKUP(L$29,$O$16:$P$25,2,FALSE)))*(VLOOKUP(#REF!,$A$61:$I$64,10,FALSE))</f>
        <v>#REF!</v>
      </c>
      <c r="O6" s="175" t="e">
        <f>(M32*(VLOOKUP(M$29,$O$16:$P$25,2,FALSE)))*(VLOOKUP(#REF!,$A$61:$I$64,10,FALSE))</f>
        <v>#REF!</v>
      </c>
      <c r="P6" s="175" t="e">
        <f>(N32*(VLOOKUP(N$29,$O$16:$P$25,2,FALSE)))*(VLOOKUP(#REF!,$A$61:$I$64,10,FALSE))</f>
        <v>#REF!</v>
      </c>
      <c r="Q6" s="175" t="e">
        <f>(O32*(VLOOKUP(O$29,$O$16:$P$25,2,FALSE)))*(VLOOKUP(#REF!,$A$61:$I$64,10,FALSE))</f>
        <v>#REF!</v>
      </c>
      <c r="R6" s="176" t="e">
        <f>(P32*(VLOOKUP(P$29,$O$16:$P$25,2,FALSE)))*(VLOOKUP(#REF!,$A$61:$I$64,10,FALSE))</f>
        <v>#REF!</v>
      </c>
      <c r="S6" s="277" t="e">
        <f t="shared" ref="S6:S12" si="7">SUM(M6:R6)</f>
        <v>#REF!</v>
      </c>
      <c r="T6" s="178" t="e">
        <f>$S6*(VLOOKUP(A6&amp;T$3,$A$16:$H$51,9,FALSE ))</f>
        <v>#REF!</v>
      </c>
      <c r="U6" s="178" t="e">
        <f>$S6*(VLOOKUP(A6&amp;U$3,$A$16:$H$51,9,FALSE ))</f>
        <v>#REF!</v>
      </c>
      <c r="V6" s="177" t="e">
        <f>VLOOKUP(VLOOKUP($A6&amp;V$3,$A$16:$H$51,8,FALSE),$K$42:$M$237,#REF!,FALSE)*(VLOOKUP($A6&amp;V$3,$A$16:$H$51,8,FALSE)*($R$16*Q32))</f>
        <v>#N/A</v>
      </c>
      <c r="W6" s="178" t="e">
        <f>VLOOKUP(VLOOKUP($A6&amp;W$3,$A$16:$H$51,8,FALSE),$K$42:$M$237,#REF!,FALSE)*(VLOOKUP($A6&amp;W$3,$A$16:$H$51,8,FALSE)*($R$16*R32))</f>
        <v>#N/A</v>
      </c>
      <c r="X6" s="178" t="e">
        <f>VLOOKUP(VLOOKUP($A6&amp;X$3,$A$16:$H$51,8,FALSE),$K$42:$M$237,#REF!,FALSE)*(VLOOKUP($A6&amp;X$3,$A$16:$H$51,8,FALSE)*($R$16*S32))</f>
        <v>#N/A</v>
      </c>
      <c r="Y6" s="177" t="e">
        <f t="shared" si="0"/>
        <v>#N/A</v>
      </c>
      <c r="Z6" s="178" t="e">
        <f>($R$16*R32)*(IF(T47&gt;0,T47+$R47,X47+$V47))</f>
        <v>#N/A</v>
      </c>
      <c r="AA6" s="179" t="e">
        <f t="shared" si="2"/>
        <v>#N/A</v>
      </c>
      <c r="AB6" s="175" t="e">
        <f>(IF((VLOOKUP($A6&amp;Y$3,$A$16:$H$51,6,FALSE))&lt;$U$17,$S$16,IF((VLOOKUP($A6&amp;Y$3,$A$16:$H$51,6,FALSE))&lt;$U$18,$S$17,$S$18)))</f>
        <v>#N/A</v>
      </c>
      <c r="AC6" s="175" t="e">
        <f>(IF((VLOOKUP($A6&amp;Z$3,$A$16:$H$51,6,FALSE))&lt;$U$17,$S$16,IF((VLOOKUP($A6&amp;Z$3,$A$16:$H$51,6,FALSE))&lt;$U$18,$S$17,$S$18)))</f>
        <v>#N/A</v>
      </c>
      <c r="AD6" s="176" t="e">
        <f>(IF((VLOOKUP($A6&amp;AA$3,$A$16:$H$51,6,FALSE))&lt;$U$17,$S$16,IF((VLOOKUP($A6&amp;AA$3,$A$16:$H$51,6,FALSE))&lt;$U$18,$S$17,$S$18)))</f>
        <v>#N/A</v>
      </c>
      <c r="AE6" s="180" t="e">
        <f>($T$17)*(VLOOKUP($A6&amp;AE$3,$A$16:$H$51,7,FALSE ))</f>
        <v>#N/A</v>
      </c>
      <c r="AF6" s="180" t="e">
        <f>($T$18)*(VLOOKUP($A6&amp;AF$3,$A$16:$H$51,7,FALSE ))</f>
        <v>#N/A</v>
      </c>
      <c r="AG6" s="180" t="e">
        <f>($T$16)*(VLOOKUP($A6&amp;AG$3,$A$16:$H$51,7,FALSE ))</f>
        <v>#N/A</v>
      </c>
      <c r="AH6" s="174">
        <f t="shared" si="6"/>
        <v>3920</v>
      </c>
      <c r="AI6" s="175" t="e">
        <f t="shared" si="3"/>
        <v>#N/A</v>
      </c>
      <c r="AJ6" s="176" t="e">
        <f t="shared" si="4"/>
        <v>#N/A</v>
      </c>
    </row>
    <row r="7" spans="1:36" x14ac:dyDescent="0.35">
      <c r="A7" s="127" t="s">
        <v>29</v>
      </c>
      <c r="B7">
        <v>273</v>
      </c>
      <c r="C7">
        <v>196</v>
      </c>
      <c r="D7">
        <v>45</v>
      </c>
      <c r="E7">
        <v>88</v>
      </c>
      <c r="F7" s="218">
        <f t="shared" si="5"/>
        <v>329</v>
      </c>
      <c r="G7">
        <v>91</v>
      </c>
      <c r="H7">
        <v>49</v>
      </c>
      <c r="I7">
        <v>45</v>
      </c>
      <c r="J7">
        <v>88</v>
      </c>
      <c r="K7" s="58">
        <v>875</v>
      </c>
      <c r="M7" s="174" t="e">
        <f>(K33*(VLOOKUP(K$29,$O$16:$P$25,2,FALSE)))*(VLOOKUP(#REF!,$A$61:$I$64,10,FALSE))</f>
        <v>#REF!</v>
      </c>
      <c r="N7" s="175" t="e">
        <f>(L33*(VLOOKUP(L$29,$O$16:$P$25,2,FALSE)))*(VLOOKUP(#REF!,$A$61:$I$64,10,FALSE))</f>
        <v>#REF!</v>
      </c>
      <c r="O7" s="175" t="e">
        <f>(M33*(VLOOKUP(M$29,$O$16:$P$25,2,FALSE)))*(VLOOKUP(#REF!,$A$61:$I$64,10,FALSE))</f>
        <v>#REF!</v>
      </c>
      <c r="P7" s="175" t="e">
        <f>(N33*(VLOOKUP(N$29,$O$16:$P$25,2,FALSE)))*(VLOOKUP(#REF!,$A$61:$I$64,10,FALSE))</f>
        <v>#REF!</v>
      </c>
      <c r="Q7" s="175" t="e">
        <f>(O33*(VLOOKUP(O$29,$O$16:$P$25,2,FALSE)))*(VLOOKUP(#REF!,$A$61:$I$64,10,FALSE))</f>
        <v>#REF!</v>
      </c>
      <c r="R7" s="176" t="e">
        <f>(P33*(VLOOKUP(P$29,$O$16:$P$25,2,FALSE)))*(VLOOKUP(#REF!,$A$61:$I$64,10,FALSE))</f>
        <v>#REF!</v>
      </c>
      <c r="S7" s="277" t="e">
        <f>SUM(M7:R7)</f>
        <v>#REF!</v>
      </c>
      <c r="T7" s="178" t="e">
        <f>$S7*(VLOOKUP(A7&amp;T$3,$A$16:$H$51,9,FALSE ))</f>
        <v>#REF!</v>
      </c>
      <c r="U7" s="178" t="e">
        <f>$S7*(VLOOKUP(A7&amp;U$3,$A$16:$H$51,9,FALSE ))</f>
        <v>#REF!</v>
      </c>
      <c r="V7" s="177" t="e">
        <f>VLOOKUP(VLOOKUP($A7&amp;V$3,$A$16:$H$51,8,FALSE),$K$42:$M$237,#REF!,FALSE)*(VLOOKUP($A7&amp;V$3,$A$16:$H$51,8,FALSE)*($R$16*Q33))</f>
        <v>#N/A</v>
      </c>
      <c r="W7" s="178" t="e">
        <f>VLOOKUP(VLOOKUP($A7&amp;W$3,$A$16:$H$51,8,FALSE),$K$42:$M$237,#REF!,FALSE)*(VLOOKUP($A7&amp;W$3,$A$16:$H$51,8,FALSE)*($R$16*R33))</f>
        <v>#N/A</v>
      </c>
      <c r="X7" s="178" t="e">
        <f>VLOOKUP(VLOOKUP($A7&amp;X$3,$A$16:$H$51,8,FALSE),$K$42:$M$237,#REF!,FALSE)*(VLOOKUP($A7&amp;X$3,$A$16:$H$51,8,FALSE)*($R$16*S33))</f>
        <v>#N/A</v>
      </c>
      <c r="Y7" s="177" t="e">
        <f>($R$16*Q33)*(IF(S48&gt;0,S48+$R48,W48+$V48))</f>
        <v>#N/A</v>
      </c>
      <c r="Z7" s="178" t="e">
        <f>($R$16*R33)*(IF(T48&gt;0,T48+$R48,X48+$V48))</f>
        <v>#N/A</v>
      </c>
      <c r="AA7" s="179" t="e">
        <f t="shared" si="2"/>
        <v>#N/A</v>
      </c>
      <c r="AB7" s="175" t="e">
        <f>(IF((VLOOKUP($A7&amp;Y$3,$A$16:$H$51,6,FALSE))&lt;$U$17,$S$16,IF((VLOOKUP($A7&amp;Y$3,$A$16:$H$51,6,FALSE))&lt;$U$18,$S$17,$S$18)))</f>
        <v>#N/A</v>
      </c>
      <c r="AC7" s="175" t="e">
        <f>(IF((VLOOKUP($A7&amp;Z$3,$A$16:$H$51,6,FALSE))&lt;$U$17,$S$16,IF((VLOOKUP($A7&amp;Z$3,$A$16:$H$51,6,FALSE))&lt;$U$18,$S$17,$S$18)))</f>
        <v>#N/A</v>
      </c>
      <c r="AD7" s="176" t="e">
        <f>(IF((VLOOKUP($A7&amp;AA$3,$A$16:$H$51,6,FALSE))&lt;$U$17,$S$16,IF((VLOOKUP($A7&amp;AA$3,$A$16:$H$51,6,FALSE))&lt;$U$18,$S$17,$S$18)))</f>
        <v>#N/A</v>
      </c>
      <c r="AE7" s="180" t="e">
        <f>($T$17)*(VLOOKUP($A7&amp;AE$3,$A$16:$H$51,7,FALSE ))</f>
        <v>#N/A</v>
      </c>
      <c r="AF7" s="180" t="e">
        <f>($T$18)*(VLOOKUP($A7&amp;AF$3,$A$16:$H$51,7,FALSE ))</f>
        <v>#N/A</v>
      </c>
      <c r="AG7" s="180" t="e">
        <f>($T$16)*(VLOOKUP($A7&amp;AG$3,$A$16:$H$51,7,FALSE ))</f>
        <v>#N/A</v>
      </c>
      <c r="AH7" s="174">
        <f t="shared" si="6"/>
        <v>4375</v>
      </c>
      <c r="AI7" s="175" t="e">
        <f t="shared" si="3"/>
        <v>#N/A</v>
      </c>
      <c r="AJ7" s="176" t="e">
        <f t="shared" si="4"/>
        <v>#N/A</v>
      </c>
    </row>
    <row r="8" spans="1:36" x14ac:dyDescent="0.35">
      <c r="A8" s="127" t="s">
        <v>30</v>
      </c>
      <c r="B8">
        <v>232</v>
      </c>
      <c r="C8">
        <v>200</v>
      </c>
      <c r="D8">
        <v>39</v>
      </c>
      <c r="E8">
        <v>86</v>
      </c>
      <c r="F8" s="218">
        <f t="shared" si="5"/>
        <v>325</v>
      </c>
      <c r="G8">
        <v>77</v>
      </c>
      <c r="H8">
        <v>50</v>
      </c>
      <c r="I8">
        <v>39</v>
      </c>
      <c r="J8">
        <v>86</v>
      </c>
      <c r="K8" s="58">
        <v>809</v>
      </c>
      <c r="M8" s="174" t="e">
        <f>(K34*(VLOOKUP(K$29,$O$16:$P$25,2,FALSE)))*(VLOOKUP(#REF!,$A$61:$I$64,10,FALSE))</f>
        <v>#REF!</v>
      </c>
      <c r="N8" s="175" t="e">
        <f>(L34*(VLOOKUP(L$29,$O$16:$P$25,2,FALSE)))*(VLOOKUP(#REF!,$A$61:$I$64,10,FALSE))</f>
        <v>#REF!</v>
      </c>
      <c r="O8" s="175" t="e">
        <f>(M34*(VLOOKUP(M$29,$O$16:$P$25,2,FALSE)))*(VLOOKUP(#REF!,$A$61:$I$64,10,FALSE))</f>
        <v>#REF!</v>
      </c>
      <c r="P8" s="175" t="e">
        <f>(N34*(VLOOKUP(N$29,$O$16:$P$25,2,FALSE)))*(VLOOKUP(#REF!,$A$61:$I$64,10,FALSE))</f>
        <v>#REF!</v>
      </c>
      <c r="Q8" s="175" t="e">
        <f>(O34*(VLOOKUP(O$29,$O$16:$P$25,2,FALSE)))*(VLOOKUP(#REF!,$A$61:$I$64,10,FALSE))</f>
        <v>#REF!</v>
      </c>
      <c r="R8" s="176" t="e">
        <f>(P34*(VLOOKUP(P$29,$O$16:$P$25,2,FALSE)))*(VLOOKUP(#REF!,$A$61:$I$64,10,FALSE))</f>
        <v>#REF!</v>
      </c>
      <c r="S8" s="277" t="e">
        <f t="shared" si="7"/>
        <v>#REF!</v>
      </c>
      <c r="T8" s="178" t="e">
        <f>$S8*(VLOOKUP(A8&amp;T$3,$A$16:$H$51,9,FALSE ))</f>
        <v>#REF!</v>
      </c>
      <c r="U8" s="178" t="e">
        <f>$S8*(VLOOKUP(A8&amp;U$3,$A$16:$H$51,9,FALSE ))</f>
        <v>#REF!</v>
      </c>
      <c r="V8" s="177" t="e">
        <f>VLOOKUP(VLOOKUP($A8&amp;V$3,$A$16:$H$51,8,FALSE),$K$42:$M$237,#REF!,FALSE)*(VLOOKUP($A8&amp;V$3,$A$16:$H$51,8,FALSE)*($R$16*Q34))</f>
        <v>#N/A</v>
      </c>
      <c r="W8" s="178" t="e">
        <f>VLOOKUP(VLOOKUP($A8&amp;W$3,$A$16:$H$51,8,FALSE),$K$42:$M$237,#REF!,FALSE)*(VLOOKUP($A8&amp;W$3,$A$16:$H$51,8,FALSE)*($R$16*R34))</f>
        <v>#N/A</v>
      </c>
      <c r="X8" s="178" t="e">
        <f>VLOOKUP(VLOOKUP($A8&amp;X$3,$A$16:$H$51,8,FALSE),$K$42:$M$237,#REF!,FALSE)*(VLOOKUP($A8&amp;X$3,$A$16:$H$51,8,FALSE)*($R$16*S34))</f>
        <v>#N/A</v>
      </c>
      <c r="Y8" s="177" t="e">
        <f t="shared" si="0"/>
        <v>#N/A</v>
      </c>
      <c r="Z8" s="178" t="e">
        <f t="shared" si="1"/>
        <v>#N/A</v>
      </c>
      <c r="AA8" s="179" t="e">
        <f t="shared" si="2"/>
        <v>#N/A</v>
      </c>
      <c r="AB8" s="175" t="e">
        <f>(IF((VLOOKUP($A8&amp;Y$3,$A$16:$H$51,6,FALSE))&lt;$U$17,$S$16,IF((VLOOKUP($A8&amp;Y$3,$A$16:$H$51,6,FALSE))&lt;$U$18,$S$17,$S$18)))</f>
        <v>#N/A</v>
      </c>
      <c r="AC8" s="175" t="e">
        <f>(IF((VLOOKUP($A8&amp;Z$3,$A$16:$H$51,6,FALSE))&lt;$U$17,$S$16,IF((VLOOKUP($A8&amp;Z$3,$A$16:$H$51,6,FALSE))&lt;$U$18,$S$17,$S$18)))</f>
        <v>#N/A</v>
      </c>
      <c r="AD8" s="176" t="e">
        <f>(IF((VLOOKUP($A8&amp;AA$3,$A$16:$H$51,6,FALSE))&lt;$U$17,$S$16,IF((VLOOKUP($A8&amp;AA$3,$A$16:$H$51,6,FALSE))&lt;$U$18,$S$17,$S$18)))</f>
        <v>#N/A</v>
      </c>
      <c r="AE8" s="180" t="e">
        <f>($T$17)*(VLOOKUP($A8&amp;AE$3,$A$16:$H$51,7,FALSE ))</f>
        <v>#N/A</v>
      </c>
      <c r="AF8" s="180" t="e">
        <f>($T$18)*(VLOOKUP($A8&amp;AF$3,$A$16:$H$51,7,FALSE ))</f>
        <v>#N/A</v>
      </c>
      <c r="AG8" s="180" t="e">
        <f>($T$16)*(VLOOKUP($A8&amp;AG$3,$A$16:$H$51,7,FALSE ))</f>
        <v>#N/A</v>
      </c>
      <c r="AH8" s="174">
        <f t="shared" si="6"/>
        <v>4045</v>
      </c>
      <c r="AI8" s="175" t="e">
        <f t="shared" si="3"/>
        <v>#N/A</v>
      </c>
      <c r="AJ8" s="176" t="e">
        <f t="shared" si="4"/>
        <v>#N/A</v>
      </c>
    </row>
    <row r="9" spans="1:36" x14ac:dyDescent="0.35">
      <c r="A9" s="127" t="s">
        <v>32</v>
      </c>
      <c r="B9">
        <v>169</v>
      </c>
      <c r="C9">
        <v>193</v>
      </c>
      <c r="D9">
        <v>28</v>
      </c>
      <c r="E9">
        <v>82</v>
      </c>
      <c r="F9" s="218">
        <f t="shared" si="5"/>
        <v>303</v>
      </c>
      <c r="G9">
        <v>56</v>
      </c>
      <c r="H9">
        <v>48</v>
      </c>
      <c r="I9">
        <v>28</v>
      </c>
      <c r="J9">
        <v>82</v>
      </c>
      <c r="K9" s="58">
        <v>686</v>
      </c>
      <c r="M9" s="174" t="e">
        <f>(K35*(VLOOKUP(K$29,$O$16:$P$25,2,FALSE)))*(VLOOKUP(#REF!,$A$61:$I$64,10,FALSE))</f>
        <v>#REF!</v>
      </c>
      <c r="N9" s="175" t="e">
        <f>(L35*(VLOOKUP(L$29,$O$16:$P$25,2,FALSE)))*(VLOOKUP(#REF!,$A$61:$I$64,10,FALSE))</f>
        <v>#REF!</v>
      </c>
      <c r="O9" s="175" t="e">
        <f>(M35*(VLOOKUP(M$29,$O$16:$P$25,2,FALSE)))*(VLOOKUP(#REF!,$A$61:$I$64,10,FALSE))</f>
        <v>#REF!</v>
      </c>
      <c r="P9" s="175" t="e">
        <f>(N35*(VLOOKUP(N$29,$O$16:$P$25,2,FALSE)))*(VLOOKUP(#REF!,$A$61:$I$64,10,FALSE))</f>
        <v>#REF!</v>
      </c>
      <c r="Q9" s="175" t="e">
        <f>(O35*(VLOOKUP(O$29,$O$16:$P$25,2,FALSE)))*(VLOOKUP(#REF!,$A$61:$I$64,10,FALSE))</f>
        <v>#REF!</v>
      </c>
      <c r="R9" s="176" t="e">
        <f>(P35*(VLOOKUP(P$29,$O$16:$P$25,2,FALSE)))*(VLOOKUP(#REF!,$A$61:$I$64,10,FALSE))</f>
        <v>#REF!</v>
      </c>
      <c r="S9" s="277" t="e">
        <f t="shared" si="7"/>
        <v>#REF!</v>
      </c>
      <c r="T9" s="178" t="e">
        <f>$S9*(VLOOKUP(A9&amp;T$3,$A$16:$H$51,9,FALSE ))</f>
        <v>#REF!</v>
      </c>
      <c r="U9" s="178" t="e">
        <f>$S9*(VLOOKUP(A9&amp;U$3,$A$16:$H$51,9,FALSE ))</f>
        <v>#REF!</v>
      </c>
      <c r="V9" s="177" t="e">
        <f>VLOOKUP(VLOOKUP($A9&amp;V$3,$A$16:$H$51,8,FALSE),$K$42:$M$237,#REF!,FALSE)*(VLOOKUP($A9&amp;V$3,$A$16:$H$51,8,FALSE)*($R$16*Q35))</f>
        <v>#N/A</v>
      </c>
      <c r="W9" s="178" t="e">
        <f>VLOOKUP(VLOOKUP($A9&amp;W$3,$A$16:$H$51,8,FALSE),$K$42:$M$237,#REF!,FALSE)*(VLOOKUP($A9&amp;W$3,$A$16:$H$51,8,FALSE)*($R$16*R35))</f>
        <v>#N/A</v>
      </c>
      <c r="X9" s="178" t="e">
        <f>VLOOKUP(VLOOKUP($A9&amp;X$3,$A$16:$H$51,8,FALSE),$K$42:$M$237,#REF!,FALSE)*(VLOOKUP($A9&amp;X$3,$A$16:$H$51,8,FALSE)*($R$16*S35))</f>
        <v>#N/A</v>
      </c>
      <c r="Y9" s="177" t="e">
        <f t="shared" si="0"/>
        <v>#N/A</v>
      </c>
      <c r="Z9" s="178" t="e">
        <f t="shared" si="1"/>
        <v>#N/A</v>
      </c>
      <c r="AA9" s="179" t="e">
        <f t="shared" si="2"/>
        <v>#N/A</v>
      </c>
      <c r="AB9" s="175" t="e">
        <f>(IF((VLOOKUP($A9&amp;Y$3,$A$16:$H$51,6,FALSE))&lt;$U$17,$S$16,IF((VLOOKUP($A9&amp;Y$3,$A$16:$H$51,6,FALSE))&lt;$U$18,$S$17,$S$18)))</f>
        <v>#N/A</v>
      </c>
      <c r="AC9" s="175" t="e">
        <f>(IF((VLOOKUP($A9&amp;Z$3,$A$16:$H$51,6,FALSE))&lt;$U$17,$S$16,IF((VLOOKUP($A9&amp;Z$3,$A$16:$H$51,6,FALSE))&lt;$U$18,$S$17,$S$18)))</f>
        <v>#N/A</v>
      </c>
      <c r="AD9" s="176" t="e">
        <f>(IF((VLOOKUP($A9&amp;AA$3,$A$16:$H$51,6,FALSE))&lt;$U$17,$S$16,IF((VLOOKUP($A9&amp;AA$3,$A$16:$H$51,6,FALSE))&lt;$U$18,$S$17,$S$18)))</f>
        <v>#N/A</v>
      </c>
      <c r="AE9" s="180" t="e">
        <f>($T$17)*(VLOOKUP($A9&amp;AE$3,$A$16:$H$51,7,FALSE ))</f>
        <v>#N/A</v>
      </c>
      <c r="AF9" s="180" t="e">
        <f>($T$18)*(VLOOKUP($A9&amp;AF$3,$A$16:$H$51,7,FALSE ))</f>
        <v>#N/A</v>
      </c>
      <c r="AG9" s="180" t="e">
        <f>($T$16)*(VLOOKUP($A9&amp;AG$3,$A$16:$H$51,7,FALSE ))</f>
        <v>#N/A</v>
      </c>
      <c r="AH9" s="174">
        <f t="shared" si="6"/>
        <v>3430</v>
      </c>
      <c r="AI9" s="175" t="e">
        <f t="shared" si="3"/>
        <v>#N/A</v>
      </c>
      <c r="AJ9" s="176" t="e">
        <f t="shared" si="4"/>
        <v>#N/A</v>
      </c>
    </row>
    <row r="10" spans="1:36" x14ac:dyDescent="0.35">
      <c r="A10" s="127" t="s">
        <v>33</v>
      </c>
      <c r="B10">
        <v>169</v>
      </c>
      <c r="C10">
        <v>165</v>
      </c>
      <c r="D10">
        <v>28</v>
      </c>
      <c r="E10">
        <v>71</v>
      </c>
      <c r="F10" s="218">
        <f t="shared" si="5"/>
        <v>264</v>
      </c>
      <c r="G10">
        <v>56</v>
      </c>
      <c r="H10">
        <v>41</v>
      </c>
      <c r="I10">
        <v>28</v>
      </c>
      <c r="J10">
        <v>71</v>
      </c>
      <c r="K10" s="58">
        <v>629</v>
      </c>
      <c r="M10" s="174" t="e">
        <f>(K36*(VLOOKUP(K$29,$O$16:$P$25,2,FALSE)))*(VLOOKUP(#REF!,$A$61:$I$64,10,FALSE))</f>
        <v>#REF!</v>
      </c>
      <c r="N10" s="175" t="e">
        <f>(L36*(VLOOKUP(L$29,$O$16:$P$25,2,FALSE)))*(VLOOKUP(#REF!,$A$61:$I$64,10,FALSE))</f>
        <v>#REF!</v>
      </c>
      <c r="O10" s="175" t="e">
        <f>(M36*(VLOOKUP(M$29,$O$16:$P$25,2,FALSE)))*(VLOOKUP(#REF!,$A$61:$I$64,10,FALSE))</f>
        <v>#REF!</v>
      </c>
      <c r="P10" s="175" t="e">
        <f>(N36*(VLOOKUP(N$29,$O$16:$P$25,2,FALSE)))*(VLOOKUP(#REF!,$A$61:$I$64,10,FALSE))</f>
        <v>#REF!</v>
      </c>
      <c r="Q10" s="175" t="e">
        <f>(O36*(VLOOKUP(O$29,$O$16:$P$25,2,FALSE)))*(VLOOKUP(#REF!,$A$61:$I$64,10,FALSE))</f>
        <v>#REF!</v>
      </c>
      <c r="R10" s="176" t="e">
        <f>(P36*(VLOOKUP(P$29,$O$16:$P$25,2,FALSE)))*(VLOOKUP(#REF!,$A$61:$I$64,10,FALSE))</f>
        <v>#REF!</v>
      </c>
      <c r="S10" s="277" t="e">
        <f t="shared" si="7"/>
        <v>#REF!</v>
      </c>
      <c r="T10" s="178" t="e">
        <f>$S10*(VLOOKUP(A10&amp;T$3,$A$16:$H$51,9,FALSE ))</f>
        <v>#REF!</v>
      </c>
      <c r="U10" s="178" t="e">
        <f>$S10*(VLOOKUP(A10&amp;U$3,$A$16:$H$51,9,FALSE ))</f>
        <v>#REF!</v>
      </c>
      <c r="V10" s="177" t="e">
        <f>VLOOKUP(VLOOKUP($A10&amp;V$3,$A$16:$H$51,8,FALSE),$K$42:$M$237,#REF!,FALSE)*(VLOOKUP($A10&amp;V$3,$A$16:$H$51,8,FALSE)*($R$16*Q36))</f>
        <v>#N/A</v>
      </c>
      <c r="W10" s="178" t="e">
        <f>VLOOKUP(VLOOKUP($A10&amp;W$3,$A$16:$H$51,8,FALSE),$K$42:$M$237,#REF!,FALSE)*(VLOOKUP($A10&amp;W$3,$A$16:$H$51,8,FALSE)*($R$16*R36))</f>
        <v>#N/A</v>
      </c>
      <c r="X10" s="178" t="e">
        <f>VLOOKUP(VLOOKUP($A10&amp;X$3,$A$16:$H$51,8,FALSE),$K$42:$M$237,#REF!,FALSE)*(VLOOKUP($A10&amp;X$3,$A$16:$H$51,8,FALSE)*($R$16*S36))</f>
        <v>#N/A</v>
      </c>
      <c r="Y10" s="177" t="e">
        <f t="shared" si="0"/>
        <v>#N/A</v>
      </c>
      <c r="Z10" s="178" t="e">
        <f t="shared" si="1"/>
        <v>#N/A</v>
      </c>
      <c r="AA10" s="179" t="e">
        <f t="shared" si="2"/>
        <v>#N/A</v>
      </c>
      <c r="AB10" s="175" t="e">
        <f>(IF((VLOOKUP($A10&amp;Y$3,$A$16:$H$51,6,FALSE))&lt;$U$17,$S$16,IF((VLOOKUP($A10&amp;Y$3,$A$16:$H$51,6,FALSE))&lt;$U$18,$S$17,$S$18)))</f>
        <v>#N/A</v>
      </c>
      <c r="AC10" s="175" t="e">
        <f>(IF((VLOOKUP($A10&amp;Z$3,$A$16:$H$51,6,FALSE))&lt;$U$17,$S$16,IF((VLOOKUP($A10&amp;Z$3,$A$16:$H$51,6,FALSE))&lt;$U$18,$S$17,$S$18)))</f>
        <v>#N/A</v>
      </c>
      <c r="AD10" s="176" t="e">
        <f>(IF((VLOOKUP($A10&amp;AA$3,$A$16:$H$51,6,FALSE))&lt;$U$17,$S$16,IF((VLOOKUP($A10&amp;AA$3,$A$16:$H$51,6,FALSE))&lt;$U$18,$S$17,$S$18)))</f>
        <v>#N/A</v>
      </c>
      <c r="AE10" s="180" t="e">
        <f>($T$17)*(VLOOKUP($A10&amp;AE$3,$A$16:$H$51,7,FALSE ))</f>
        <v>#N/A</v>
      </c>
      <c r="AF10" s="180" t="e">
        <f>($T$18)*(VLOOKUP($A10&amp;AF$3,$A$16:$H$51,7,FALSE ))</f>
        <v>#N/A</v>
      </c>
      <c r="AG10" s="180" t="e">
        <f>($T$16)*(VLOOKUP($A10&amp;AG$3,$A$16:$H$51,7,FALSE ))</f>
        <v>#N/A</v>
      </c>
      <c r="AH10" s="174">
        <f t="shared" si="6"/>
        <v>3145</v>
      </c>
      <c r="AI10" s="175" t="e">
        <f t="shared" si="3"/>
        <v>#N/A</v>
      </c>
      <c r="AJ10" s="176" t="e">
        <f t="shared" si="4"/>
        <v>#N/A</v>
      </c>
    </row>
    <row r="11" spans="1:36" x14ac:dyDescent="0.35">
      <c r="A11" s="127" t="s">
        <v>34</v>
      </c>
      <c r="B11">
        <v>192</v>
      </c>
      <c r="C11">
        <v>167</v>
      </c>
      <c r="D11">
        <v>32</v>
      </c>
      <c r="E11">
        <v>71</v>
      </c>
      <c r="F11" s="218">
        <f t="shared" si="5"/>
        <v>270</v>
      </c>
      <c r="G11">
        <v>64</v>
      </c>
      <c r="H11">
        <v>42</v>
      </c>
      <c r="I11">
        <v>32</v>
      </c>
      <c r="J11">
        <v>71</v>
      </c>
      <c r="K11" s="58">
        <v>673</v>
      </c>
      <c r="M11" s="174" t="e">
        <f>(K37*(VLOOKUP(K$29,$O$16:$P$25,2,FALSE)))*(VLOOKUP(#REF!,$A$61:$I$64,10,FALSE))</f>
        <v>#REF!</v>
      </c>
      <c r="N11" s="175" t="e">
        <f>(L37*(VLOOKUP(L$29,$O$16:$P$25,2,FALSE)))*(VLOOKUP(#REF!,$A$61:$I$64,10,FALSE))</f>
        <v>#REF!</v>
      </c>
      <c r="O11" s="175" t="e">
        <f>(M37*(VLOOKUP(M$29,$O$16:$P$25,2,FALSE)))*(VLOOKUP(#REF!,$A$61:$I$64,10,FALSE))</f>
        <v>#REF!</v>
      </c>
      <c r="P11" s="175" t="e">
        <f>(N37*(VLOOKUP(N$29,$O$16:$P$25,2,FALSE)))*(VLOOKUP(#REF!,$A$61:$I$64,10,FALSE))</f>
        <v>#REF!</v>
      </c>
      <c r="Q11" s="175" t="e">
        <f>(O37*(VLOOKUP(O$29,$O$16:$P$25,2,FALSE)))*(VLOOKUP(#REF!,$A$61:$I$64,10,FALSE))</f>
        <v>#REF!</v>
      </c>
      <c r="R11" s="176" t="e">
        <f>(P37*(VLOOKUP(P$29,$O$16:$P$25,2,FALSE)))*(VLOOKUP(#REF!,$A$61:$I$64,10,FALSE))</f>
        <v>#REF!</v>
      </c>
      <c r="S11" s="277" t="e">
        <f t="shared" si="7"/>
        <v>#REF!</v>
      </c>
      <c r="T11" s="178" t="e">
        <f>$S11*(VLOOKUP(A11&amp;T$3,$A$16:$H$51,9,FALSE ))</f>
        <v>#REF!</v>
      </c>
      <c r="U11" s="178" t="e">
        <f>$S11*(VLOOKUP(A11&amp;U$3,$A$16:$H$51,9,FALSE ))</f>
        <v>#REF!</v>
      </c>
      <c r="V11" s="177" t="e">
        <f>VLOOKUP(VLOOKUP($A11&amp;V$3,$A$16:$H$51,8,FALSE),$K$42:$M$237,#REF!,FALSE)*(VLOOKUP($A11&amp;V$3,$A$16:$H$51,8,FALSE)*($R$16*Q37))</f>
        <v>#N/A</v>
      </c>
      <c r="W11" s="178" t="e">
        <f>VLOOKUP(VLOOKUP($A11&amp;W$3,$A$16:$H$51,8,FALSE),$K$42:$M$237,#REF!,FALSE)*(VLOOKUP($A11&amp;W$3,$A$16:$H$51,8,FALSE)*($R$16*R37))</f>
        <v>#N/A</v>
      </c>
      <c r="X11" s="178" t="e">
        <f>VLOOKUP(VLOOKUP($A11&amp;X$3,$A$16:$H$51,8,FALSE),$K$42:$M$237,#REF!,FALSE)*(VLOOKUP($A11&amp;X$3,$A$16:$H$51,8,FALSE)*($R$16*S37))</f>
        <v>#N/A</v>
      </c>
      <c r="Y11" s="177" t="e">
        <f t="shared" si="0"/>
        <v>#N/A</v>
      </c>
      <c r="Z11" s="178" t="e">
        <f t="shared" si="1"/>
        <v>#N/A</v>
      </c>
      <c r="AA11" s="179" t="e">
        <f t="shared" si="2"/>
        <v>#N/A</v>
      </c>
      <c r="AB11" s="175" t="e">
        <f>(IF((VLOOKUP($A11&amp;Y$3,$A$16:$H$51,6,FALSE))&lt;$U$17,$S$16,IF((VLOOKUP($A11&amp;Y$3,$A$16:$H$51,6,FALSE))&lt;$U$18,$S$17,$S$18)))</f>
        <v>#N/A</v>
      </c>
      <c r="AC11" s="175" t="e">
        <f>(IF((VLOOKUP($A11&amp;Z$3,$A$16:$H$51,6,FALSE))&lt;$U$17,$S$16,IF((VLOOKUP($A11&amp;Z$3,$A$16:$H$51,6,FALSE))&lt;$U$18,$S$17,$S$18)))</f>
        <v>#N/A</v>
      </c>
      <c r="AD11" s="176" t="e">
        <f>(IF((VLOOKUP($A11&amp;AA$3,$A$16:$H$51,6,FALSE))&lt;$U$17,$S$16,IF((VLOOKUP($A11&amp;AA$3,$A$16:$H$51,6,FALSE))&lt;$U$18,$S$17,$S$18)))</f>
        <v>#N/A</v>
      </c>
      <c r="AE11" s="180" t="e">
        <f>($T$17)*(VLOOKUP($A11&amp;AE$3,$A$16:$H$51,7,FALSE ))</f>
        <v>#N/A</v>
      </c>
      <c r="AF11" s="180" t="e">
        <f>($T$18)*(VLOOKUP($A11&amp;AF$3,$A$16:$H$51,7,FALSE ))</f>
        <v>#N/A</v>
      </c>
      <c r="AG11" s="180" t="e">
        <f>($T$16)*(VLOOKUP($A11&amp;AG$3,$A$16:$H$51,7,FALSE ))</f>
        <v>#N/A</v>
      </c>
      <c r="AH11" s="174">
        <f t="shared" si="6"/>
        <v>3365</v>
      </c>
      <c r="AI11" s="175" t="e">
        <f t="shared" si="3"/>
        <v>#N/A</v>
      </c>
      <c r="AJ11" s="176" t="e">
        <f t="shared" si="4"/>
        <v>#N/A</v>
      </c>
    </row>
    <row r="12" spans="1:36" x14ac:dyDescent="0.35">
      <c r="A12" s="128" t="s">
        <v>35</v>
      </c>
      <c r="B12" s="52">
        <v>216</v>
      </c>
      <c r="C12" s="52">
        <v>161</v>
      </c>
      <c r="D12" s="52">
        <v>36</v>
      </c>
      <c r="E12" s="52">
        <v>68</v>
      </c>
      <c r="F12" s="219">
        <f t="shared" si="5"/>
        <v>265</v>
      </c>
      <c r="G12" s="52">
        <v>72</v>
      </c>
      <c r="H12" s="52">
        <v>40</v>
      </c>
      <c r="I12" s="52">
        <v>36</v>
      </c>
      <c r="J12" s="52">
        <v>68</v>
      </c>
      <c r="K12" s="57">
        <v>699</v>
      </c>
      <c r="M12" s="182" t="e">
        <f>(K38*(VLOOKUP(K$29,$O$16:$P$25,2,FALSE)))*(VLOOKUP(#REF!,$A$61:$I$64,10,FALSE))</f>
        <v>#REF!</v>
      </c>
      <c r="N12" s="183" t="e">
        <f>(L38*(VLOOKUP(L$29,$O$16:$P$25,2,FALSE)))*(VLOOKUP(#REF!,$A$61:$I$64,10,FALSE))</f>
        <v>#REF!</v>
      </c>
      <c r="O12" s="183" t="e">
        <f>(M38*(VLOOKUP(M$29,$O$16:$P$25,2,FALSE)))*(VLOOKUP(#REF!,$A$61:$I$64,10,FALSE))</f>
        <v>#REF!</v>
      </c>
      <c r="P12" s="183" t="e">
        <f>(N38*(VLOOKUP(N$29,$O$16:$P$25,2,FALSE)))*(VLOOKUP(#REF!,$A$61:$I$64,10,FALSE))</f>
        <v>#REF!</v>
      </c>
      <c r="Q12" s="183" t="e">
        <f>(O38*(VLOOKUP(O$29,$O$16:$P$25,2,FALSE)))*(VLOOKUP(#REF!,$A$61:$I$64,10,FALSE))</f>
        <v>#REF!</v>
      </c>
      <c r="R12" s="184" t="e">
        <f>(P38*(VLOOKUP(P$29,$O$16:$P$25,2,FALSE)))*(VLOOKUP(#REF!,$A$61:$I$64,10,FALSE))</f>
        <v>#REF!</v>
      </c>
      <c r="S12" s="278" t="e">
        <f t="shared" si="7"/>
        <v>#REF!</v>
      </c>
      <c r="T12" s="186" t="e">
        <f>$S12*(VLOOKUP(A12&amp;T$3,$A$16:$H$51,9,FALSE ))</f>
        <v>#REF!</v>
      </c>
      <c r="U12" s="186" t="e">
        <f>$S12*(VLOOKUP(A12&amp;U$3,$A$16:$H$51,9,FALSE ))</f>
        <v>#REF!</v>
      </c>
      <c r="V12" s="185" t="e">
        <f>VLOOKUP(VLOOKUP($A12&amp;V$3,$A$16:$H$51,8,FALSE),$K$42:$M$237,#REF!,FALSE)*(VLOOKUP($A12&amp;V$3,$A$16:$H$51,8,FALSE)*($R$16*Q38))</f>
        <v>#N/A</v>
      </c>
      <c r="W12" s="186" t="e">
        <f>VLOOKUP(VLOOKUP($A12&amp;W$3,$A$16:$H$51,8,FALSE),$K$42:$M$237,#REF!,FALSE)*(VLOOKUP($A12&amp;W$3,$A$16:$H$51,8,FALSE)*($R$16*R38))</f>
        <v>#N/A</v>
      </c>
      <c r="X12" s="186" t="e">
        <f>VLOOKUP(VLOOKUP($A12&amp;X$3,$A$16:$H$51,8,FALSE),$K$42:$M$237,#REF!,FALSE)*(VLOOKUP($A12&amp;X$3,$A$16:$H$51,8,FALSE)*($R$16*S38))</f>
        <v>#N/A</v>
      </c>
      <c r="Y12" s="185" t="e">
        <f t="shared" si="0"/>
        <v>#N/A</v>
      </c>
      <c r="Z12" s="186" t="e">
        <f t="shared" si="1"/>
        <v>#N/A</v>
      </c>
      <c r="AA12" s="187" t="e">
        <f t="shared" si="2"/>
        <v>#N/A</v>
      </c>
      <c r="AB12" s="183" t="e">
        <f>(IF((VLOOKUP($A12&amp;Y$3,$A$16:$H$51,6,FALSE))&lt;$U$17,$S$16,IF((VLOOKUP($A12&amp;Y$3,$A$16:$H$51,6,FALSE))&lt;$U$18,$S$17,$S$18)))</f>
        <v>#N/A</v>
      </c>
      <c r="AC12" s="183" t="e">
        <f>(IF((VLOOKUP($A12&amp;Z$3,$A$16:$H$51,6,FALSE))&lt;$U$17,$S$16,IF((VLOOKUP($A12&amp;Z$3,$A$16:$H$51,6,FALSE))&lt;$U$18,$S$17,$S$18)))</f>
        <v>#N/A</v>
      </c>
      <c r="AD12" s="184" t="e">
        <f>(IF((VLOOKUP($A12&amp;AA$3,$A$16:$H$51,6,FALSE))&lt;$U$17,$S$16,IF((VLOOKUP($A12&amp;AA$3,$A$16:$H$51,6,FALSE))&lt;$U$18,$S$17,$S$18)))</f>
        <v>#N/A</v>
      </c>
      <c r="AE12" s="188" t="e">
        <f>($T$17)*(VLOOKUP($A12&amp;AE$3,$A$16:$H$51,7,FALSE ))</f>
        <v>#N/A</v>
      </c>
      <c r="AF12" s="188" t="e">
        <f>($T$18)*(VLOOKUP($A12&amp;AF$3,$A$16:$H$51,7,FALSE ))</f>
        <v>#N/A</v>
      </c>
      <c r="AG12" s="188" t="e">
        <f>($T$16)*(VLOOKUP($A12&amp;AG$3,$A$16:$H$51,7,FALSE ))</f>
        <v>#N/A</v>
      </c>
      <c r="AH12" s="182">
        <f t="shared" si="6"/>
        <v>3495</v>
      </c>
      <c r="AI12" s="183" t="e">
        <f t="shared" si="3"/>
        <v>#N/A</v>
      </c>
      <c r="AJ12" s="184" t="e">
        <f t="shared" si="4"/>
        <v>#N/A</v>
      </c>
    </row>
    <row r="13" spans="1:36" x14ac:dyDescent="0.35">
      <c r="A13"/>
      <c r="B13"/>
      <c r="C13"/>
      <c r="S13" s="147"/>
      <c r="T13" s="148"/>
      <c r="U13" s="148"/>
    </row>
    <row r="14" spans="1:36" x14ac:dyDescent="0.35">
      <c r="A14" s="352" t="s">
        <v>36</v>
      </c>
      <c r="B14" s="352"/>
      <c r="C14" s="352"/>
      <c r="D14" s="352"/>
      <c r="E14" s="352"/>
      <c r="F14" s="352"/>
      <c r="G14" s="352"/>
      <c r="H14" s="352"/>
      <c r="J14" s="344" t="s">
        <v>37</v>
      </c>
      <c r="K14" s="345"/>
      <c r="L14" s="345"/>
      <c r="M14" s="346"/>
      <c r="O14" s="347" t="s">
        <v>38</v>
      </c>
      <c r="P14" s="348"/>
      <c r="Q14" s="348"/>
      <c r="R14" s="348"/>
      <c r="S14" s="348"/>
      <c r="T14" s="348"/>
      <c r="U14" s="348"/>
      <c r="V14" s="348"/>
      <c r="W14" s="348"/>
      <c r="X14" s="349"/>
    </row>
    <row r="15" spans="1:36" x14ac:dyDescent="0.35">
      <c r="A15" s="36" t="s">
        <v>39</v>
      </c>
      <c r="B15" s="36" t="s">
        <v>40</v>
      </c>
      <c r="C15" s="36" t="s">
        <v>41</v>
      </c>
      <c r="D15" s="36" t="s">
        <v>42</v>
      </c>
      <c r="E15" s="36" t="s">
        <v>43</v>
      </c>
      <c r="F15" s="36" t="s">
        <v>44</v>
      </c>
      <c r="G15" s="36" t="s">
        <v>45</v>
      </c>
      <c r="H15" s="61" t="s">
        <v>46</v>
      </c>
      <c r="J15" s="204" t="s">
        <v>9</v>
      </c>
      <c r="K15" s="204" t="str">
        <f>T3</f>
        <v>25 percentile</v>
      </c>
      <c r="L15" s="204" t="str">
        <f>S3</f>
        <v>Mean</v>
      </c>
      <c r="M15" s="204" t="str">
        <f>U3</f>
        <v>75 percentile</v>
      </c>
      <c r="O15" s="292" t="s">
        <v>47</v>
      </c>
      <c r="P15" s="293"/>
      <c r="Q15" s="211" t="s">
        <v>48</v>
      </c>
      <c r="R15" s="36" t="s">
        <v>49</v>
      </c>
      <c r="S15" s="212" t="s">
        <v>50</v>
      </c>
      <c r="T15" s="212" t="s">
        <v>51</v>
      </c>
      <c r="U15" s="212" t="s">
        <v>52</v>
      </c>
      <c r="V15" s="36" t="s">
        <v>53</v>
      </c>
      <c r="W15" s="61" t="s">
        <v>54</v>
      </c>
      <c r="X15" s="61" t="s">
        <v>55</v>
      </c>
    </row>
    <row r="16" spans="1:36" x14ac:dyDescent="0.35">
      <c r="A16" s="190" t="s">
        <v>24</v>
      </c>
      <c r="B16" s="143" t="s">
        <v>20</v>
      </c>
      <c r="C16" s="143">
        <v>31.8</v>
      </c>
      <c r="D16" s="143">
        <v>29.2</v>
      </c>
      <c r="E16" s="143">
        <v>17.600000000000001</v>
      </c>
      <c r="F16" s="143">
        <v>0.21</v>
      </c>
      <c r="G16" s="143">
        <v>117</v>
      </c>
      <c r="H16" s="191">
        <v>1</v>
      </c>
      <c r="J16" s="260" t="str">
        <f t="shared" ref="J16:J24" si="8">A4</f>
        <v>Auckland</v>
      </c>
      <c r="K16" s="263" t="e">
        <f t="shared" ref="K16:K24" si="9">(T4-W4-Z4-AC4-AF4-AI4)</f>
        <v>#REF!</v>
      </c>
      <c r="L16" s="205" t="e">
        <f t="shared" ref="L16:L24" si="10">(S4-V4-Y4-AB4-AE4-AH4)</f>
        <v>#REF!</v>
      </c>
      <c r="M16" s="206" t="e">
        <f t="shared" ref="M16:M24" si="11">(U4-X4-AA4-AD4-AG4-AJ4)</f>
        <v>#REF!</v>
      </c>
      <c r="O16" s="294" t="s">
        <v>56</v>
      </c>
      <c r="P16" s="295">
        <v>194</v>
      </c>
      <c r="Q16" s="61" t="s">
        <v>21</v>
      </c>
      <c r="R16" s="279">
        <v>1</v>
      </c>
      <c r="S16" s="257">
        <v>1000</v>
      </c>
      <c r="T16" s="149"/>
      <c r="U16" s="56">
        <v>10</v>
      </c>
      <c r="V16" s="267">
        <v>6</v>
      </c>
      <c r="W16" s="288">
        <f>SUM($V$29,$V$33,$V$31)</f>
        <v>39.944579999999995</v>
      </c>
      <c r="X16" s="241">
        <f>SUM($X$29,$X$34,$X$32,$X$30)</f>
        <v>44.023200000000003</v>
      </c>
    </row>
    <row r="17" spans="1:27" x14ac:dyDescent="0.35">
      <c r="A17" s="192" t="s">
        <v>24</v>
      </c>
      <c r="B17" s="145" t="s">
        <v>57</v>
      </c>
      <c r="C17" s="145">
        <v>31.7</v>
      </c>
      <c r="D17" s="145">
        <v>29.3</v>
      </c>
      <c r="E17" s="145">
        <v>18.100000000000001</v>
      </c>
      <c r="F17" s="145">
        <v>0.01</v>
      </c>
      <c r="G17" s="145">
        <v>108</v>
      </c>
      <c r="H17" s="193"/>
      <c r="J17" s="261" t="str">
        <f t="shared" si="8"/>
        <v>Waikato/Taupo</v>
      </c>
      <c r="K17" s="264" t="e">
        <f t="shared" si="9"/>
        <v>#REF!</v>
      </c>
      <c r="L17" s="207" t="e">
        <f t="shared" si="10"/>
        <v>#REF!</v>
      </c>
      <c r="M17" s="208" t="e">
        <f t="shared" si="11"/>
        <v>#REF!</v>
      </c>
      <c r="O17" s="296" t="s">
        <v>58</v>
      </c>
      <c r="P17" s="297">
        <v>178</v>
      </c>
      <c r="Q17" s="211" t="s">
        <v>20</v>
      </c>
      <c r="S17" s="258">
        <v>5000</v>
      </c>
      <c r="T17" s="149"/>
      <c r="U17" s="58">
        <v>18</v>
      </c>
      <c r="V17" s="268">
        <v>5</v>
      </c>
      <c r="W17" s="44">
        <f>$V$29</f>
        <v>34.333779999999997</v>
      </c>
      <c r="X17" s="242">
        <f>SUM($X$29,$X$33,$X$31,$X$32)</f>
        <v>40.894100000000002</v>
      </c>
    </row>
    <row r="18" spans="1:27" x14ac:dyDescent="0.35">
      <c r="A18" s="192" t="s">
        <v>24</v>
      </c>
      <c r="B18" s="145" t="s">
        <v>21</v>
      </c>
      <c r="C18" s="145">
        <v>30.3</v>
      </c>
      <c r="D18" s="145">
        <v>27.7</v>
      </c>
      <c r="E18" s="145">
        <v>21.9</v>
      </c>
      <c r="F18" s="145">
        <v>0.26</v>
      </c>
      <c r="G18" s="145">
        <v>155</v>
      </c>
      <c r="H18" s="193">
        <f>D18/D16</f>
        <v>0.94863013698630139</v>
      </c>
      <c r="J18" s="261" t="str">
        <f t="shared" si="8"/>
        <v>Bay of Plenty</v>
      </c>
      <c r="K18" s="264" t="e">
        <f t="shared" si="9"/>
        <v>#REF!</v>
      </c>
      <c r="L18" s="207" t="e">
        <f t="shared" si="10"/>
        <v>#REF!</v>
      </c>
      <c r="M18" s="208" t="e">
        <f t="shared" si="11"/>
        <v>#REF!</v>
      </c>
      <c r="O18" s="296" t="s">
        <v>59</v>
      </c>
      <c r="P18" s="297">
        <v>140</v>
      </c>
      <c r="Q18" s="212" t="s">
        <v>22</v>
      </c>
      <c r="S18" s="259">
        <v>10000</v>
      </c>
      <c r="T18" s="150"/>
      <c r="U18" s="58">
        <v>25</v>
      </c>
      <c r="V18" s="269">
        <v>4</v>
      </c>
      <c r="W18" s="289">
        <f>SUM($V$29,$V$30,$V$32)</f>
        <v>31.528379999999999</v>
      </c>
      <c r="X18" s="57"/>
    </row>
    <row r="19" spans="1:27" x14ac:dyDescent="0.35">
      <c r="A19" s="192" t="s">
        <v>24</v>
      </c>
      <c r="B19" s="145" t="s">
        <v>22</v>
      </c>
      <c r="C19" s="145">
        <v>33.299999999999997</v>
      </c>
      <c r="D19" s="145">
        <v>31.4</v>
      </c>
      <c r="E19" s="145">
        <v>14.1</v>
      </c>
      <c r="F19" s="145">
        <v>0</v>
      </c>
      <c r="G19" s="145">
        <v>78</v>
      </c>
      <c r="H19" s="193">
        <f>D19/D16</f>
        <v>1.0753424657534247</v>
      </c>
      <c r="J19" s="261" t="str">
        <f t="shared" si="8"/>
        <v>Gisborne</v>
      </c>
      <c r="K19" s="264" t="e">
        <f t="shared" si="9"/>
        <v>#REF!</v>
      </c>
      <c r="L19" s="207" t="e">
        <f t="shared" si="10"/>
        <v>#REF!</v>
      </c>
      <c r="M19" s="208" t="e">
        <f t="shared" si="11"/>
        <v>#REF!</v>
      </c>
      <c r="O19" s="296" t="s">
        <v>60</v>
      </c>
      <c r="P19" s="298">
        <v>130</v>
      </c>
      <c r="U19" s="57">
        <v>30</v>
      </c>
    </row>
    <row r="20" spans="1:27" x14ac:dyDescent="0.35">
      <c r="A20" s="192" t="s">
        <v>26</v>
      </c>
      <c r="B20" s="145" t="s">
        <v>20</v>
      </c>
      <c r="C20" s="145">
        <v>33.200000000000003</v>
      </c>
      <c r="D20" s="145">
        <v>31.2</v>
      </c>
      <c r="E20" s="145">
        <v>17.899999999999999</v>
      </c>
      <c r="F20" s="145">
        <v>0.26</v>
      </c>
      <c r="G20" s="145">
        <v>140</v>
      </c>
      <c r="H20" s="193">
        <v>1</v>
      </c>
      <c r="J20" s="261" t="str">
        <f t="shared" si="8"/>
        <v>Hawkes Bay/SNI</v>
      </c>
      <c r="K20" s="264" t="e">
        <f t="shared" si="9"/>
        <v>#REF!</v>
      </c>
      <c r="L20" s="207" t="e">
        <f t="shared" si="10"/>
        <v>#REF!</v>
      </c>
      <c r="M20" s="208" t="e">
        <f t="shared" si="11"/>
        <v>#REF!</v>
      </c>
      <c r="O20" s="290" t="s">
        <v>15</v>
      </c>
      <c r="P20" s="291">
        <f>(P18+P19)/2</f>
        <v>135</v>
      </c>
      <c r="Q20" s="127"/>
      <c r="U20" s="121"/>
      <c r="V20" s="266"/>
    </row>
    <row r="21" spans="1:27" x14ac:dyDescent="0.35">
      <c r="A21" s="192" t="s">
        <v>26</v>
      </c>
      <c r="B21" s="145" t="s">
        <v>57</v>
      </c>
      <c r="C21" s="145">
        <v>33.4</v>
      </c>
      <c r="D21" s="145">
        <v>31.6</v>
      </c>
      <c r="E21" s="145">
        <v>18.899999999999999</v>
      </c>
      <c r="F21" s="145">
        <v>0.02</v>
      </c>
      <c r="G21" s="145">
        <v>142</v>
      </c>
      <c r="H21" s="193"/>
      <c r="J21" s="261" t="str">
        <f t="shared" si="8"/>
        <v>Nelson/Marlborough</v>
      </c>
      <c r="K21" s="264" t="e">
        <f t="shared" si="9"/>
        <v>#REF!</v>
      </c>
      <c r="L21" s="207" t="e">
        <f t="shared" si="10"/>
        <v>#REF!</v>
      </c>
      <c r="M21" s="208" t="e">
        <f t="shared" si="11"/>
        <v>#REF!</v>
      </c>
      <c r="O21" s="296" t="s">
        <v>17</v>
      </c>
      <c r="P21" s="297">
        <v>120</v>
      </c>
      <c r="Q21" s="127"/>
    </row>
    <row r="22" spans="1:27" x14ac:dyDescent="0.35">
      <c r="A22" s="192" t="s">
        <v>26</v>
      </c>
      <c r="B22" s="145" t="s">
        <v>21</v>
      </c>
      <c r="C22" s="145">
        <v>31.5</v>
      </c>
      <c r="D22" s="145">
        <v>28.8</v>
      </c>
      <c r="E22" s="145">
        <v>24.4</v>
      </c>
      <c r="F22" s="145">
        <v>0.31</v>
      </c>
      <c r="G22" s="145">
        <v>157</v>
      </c>
      <c r="H22" s="193">
        <f>D22/D20</f>
        <v>0.92307692307692313</v>
      </c>
      <c r="J22" s="261" t="str">
        <f t="shared" si="8"/>
        <v>Canterbury/WC</v>
      </c>
      <c r="K22" s="264" t="e">
        <f t="shared" si="9"/>
        <v>#REF!</v>
      </c>
      <c r="L22" s="207" t="e">
        <f t="shared" si="10"/>
        <v>#REF!</v>
      </c>
      <c r="M22" s="208" t="e">
        <f t="shared" si="11"/>
        <v>#REF!</v>
      </c>
      <c r="O22" s="296" t="s">
        <v>16</v>
      </c>
      <c r="P22" s="297">
        <v>118</v>
      </c>
      <c r="Q22" s="127"/>
    </row>
    <row r="23" spans="1:27" x14ac:dyDescent="0.35">
      <c r="A23" s="192" t="s">
        <v>26</v>
      </c>
      <c r="B23" s="145" t="s">
        <v>22</v>
      </c>
      <c r="C23" s="145">
        <v>35</v>
      </c>
      <c r="D23" s="145">
        <v>33.799999999999997</v>
      </c>
      <c r="E23" s="145">
        <v>10.199999999999999</v>
      </c>
      <c r="F23" s="145">
        <v>0</v>
      </c>
      <c r="G23" s="145">
        <v>127</v>
      </c>
      <c r="H23" s="193">
        <f>D23/D20</f>
        <v>1.0833333333333333</v>
      </c>
      <c r="J23" s="261" t="str">
        <f t="shared" si="8"/>
        <v>Otago</v>
      </c>
      <c r="K23" s="264" t="e">
        <f t="shared" si="9"/>
        <v>#REF!</v>
      </c>
      <c r="L23" s="207" t="e">
        <f t="shared" si="10"/>
        <v>#REF!</v>
      </c>
      <c r="M23" s="208" t="e">
        <f t="shared" si="11"/>
        <v>#REF!</v>
      </c>
      <c r="O23" s="296" t="s">
        <v>18</v>
      </c>
      <c r="P23" s="297">
        <v>61</v>
      </c>
      <c r="Q23" s="127"/>
    </row>
    <row r="24" spans="1:27" x14ac:dyDescent="0.35">
      <c r="A24" s="192" t="s">
        <v>27</v>
      </c>
      <c r="B24" s="145" t="s">
        <v>20</v>
      </c>
      <c r="C24" s="145">
        <v>33.1</v>
      </c>
      <c r="D24" s="145">
        <v>31.8</v>
      </c>
      <c r="E24" s="145">
        <v>19.899999999999999</v>
      </c>
      <c r="F24" s="145">
        <v>0.3</v>
      </c>
      <c r="G24" s="145">
        <v>86</v>
      </c>
      <c r="H24" s="193">
        <v>1</v>
      </c>
      <c r="J24" s="262" t="str">
        <f t="shared" si="8"/>
        <v>Southland</v>
      </c>
      <c r="K24" s="265" t="e">
        <f t="shared" si="9"/>
        <v>#REF!</v>
      </c>
      <c r="L24" s="209" t="e">
        <f t="shared" si="10"/>
        <v>#REF!</v>
      </c>
      <c r="M24" s="210" t="e">
        <f t="shared" si="11"/>
        <v>#REF!</v>
      </c>
      <c r="O24" s="296" t="s">
        <v>10</v>
      </c>
      <c r="P24" s="297">
        <v>143</v>
      </c>
      <c r="Q24" s="127"/>
    </row>
    <row r="25" spans="1:27" x14ac:dyDescent="0.35">
      <c r="A25" s="192" t="s">
        <v>27</v>
      </c>
      <c r="B25" s="145" t="s">
        <v>57</v>
      </c>
      <c r="C25" s="145">
        <v>33.1</v>
      </c>
      <c r="D25" s="145">
        <v>32</v>
      </c>
      <c r="E25" s="145">
        <v>19.2</v>
      </c>
      <c r="F25" s="145">
        <v>0.05</v>
      </c>
      <c r="G25" s="145">
        <v>81</v>
      </c>
      <c r="H25" s="193"/>
      <c r="O25" s="299" t="s">
        <v>61</v>
      </c>
      <c r="P25" s="300">
        <v>133</v>
      </c>
      <c r="Q25" s="127"/>
    </row>
    <row r="26" spans="1:27" x14ac:dyDescent="0.35">
      <c r="A26" s="192" t="s">
        <v>27</v>
      </c>
      <c r="B26" s="145" t="s">
        <v>21</v>
      </c>
      <c r="C26" s="145">
        <v>31.6</v>
      </c>
      <c r="D26" s="145">
        <v>30.3</v>
      </c>
      <c r="E26" s="145">
        <v>25.9</v>
      </c>
      <c r="F26" s="145">
        <v>0.42</v>
      </c>
      <c r="G26" s="145">
        <v>114</v>
      </c>
      <c r="H26" s="193">
        <f>D26/D24</f>
        <v>0.95283018867924529</v>
      </c>
      <c r="J26" s="146"/>
      <c r="U26" s="352" t="s">
        <v>62</v>
      </c>
      <c r="V26" s="352"/>
      <c r="W26" s="352"/>
      <c r="X26" s="352"/>
      <c r="Y26" s="352"/>
      <c r="Z26" s="352"/>
      <c r="AA26" s="352"/>
    </row>
    <row r="27" spans="1:27" x14ac:dyDescent="0.35">
      <c r="A27" s="192" t="s">
        <v>27</v>
      </c>
      <c r="B27" s="145" t="s">
        <v>22</v>
      </c>
      <c r="C27" s="145">
        <v>34.6</v>
      </c>
      <c r="D27" s="145">
        <v>33.200000000000003</v>
      </c>
      <c r="E27" s="145">
        <v>13.7</v>
      </c>
      <c r="F27" s="145">
        <v>0.05</v>
      </c>
      <c r="G27" s="145">
        <v>59</v>
      </c>
      <c r="H27" s="193">
        <f>D27/D24</f>
        <v>1.0440251572327044</v>
      </c>
      <c r="J27" s="146"/>
      <c r="U27" s="341" t="s">
        <v>63</v>
      </c>
      <c r="V27" s="343"/>
      <c r="W27" s="341" t="s">
        <v>64</v>
      </c>
      <c r="X27" s="343"/>
      <c r="Y27" s="61" t="s">
        <v>65</v>
      </c>
      <c r="Z27" s="36" t="s">
        <v>66</v>
      </c>
      <c r="AA27" s="36" t="s">
        <v>67</v>
      </c>
    </row>
    <row r="28" spans="1:27" x14ac:dyDescent="0.35">
      <c r="A28" s="192" t="s">
        <v>29</v>
      </c>
      <c r="B28" s="145" t="s">
        <v>20</v>
      </c>
      <c r="C28" s="145">
        <v>32.299999999999997</v>
      </c>
      <c r="D28" s="145">
        <v>35.299999999999997</v>
      </c>
      <c r="E28" s="145">
        <v>25.7</v>
      </c>
      <c r="F28" s="145">
        <v>0.35</v>
      </c>
      <c r="G28" s="145">
        <v>75</v>
      </c>
      <c r="H28" s="193">
        <v>1</v>
      </c>
      <c r="J28" s="252" t="s">
        <v>68</v>
      </c>
      <c r="K28" s="253"/>
      <c r="L28" s="253"/>
      <c r="M28" s="253"/>
      <c r="N28" s="253"/>
      <c r="O28" s="253"/>
      <c r="P28" s="253"/>
      <c r="Q28" s="347" t="s">
        <v>19</v>
      </c>
      <c r="R28" s="348"/>
      <c r="S28" s="349"/>
      <c r="U28" s="36" t="s">
        <v>69</v>
      </c>
      <c r="V28" s="44">
        <v>41.325699999999998</v>
      </c>
      <c r="W28" s="36" t="s">
        <v>69</v>
      </c>
      <c r="X28" s="241">
        <v>45.533799999999999</v>
      </c>
      <c r="Y28" s="196" t="s">
        <v>70</v>
      </c>
      <c r="Z28" s="126">
        <v>1.8</v>
      </c>
      <c r="AA28" s="239">
        <v>2</v>
      </c>
    </row>
    <row r="29" spans="1:27" x14ac:dyDescent="0.35">
      <c r="A29" s="192" t="s">
        <v>29</v>
      </c>
      <c r="B29" s="145" t="s">
        <v>57</v>
      </c>
      <c r="C29" s="145">
        <v>32.299999999999997</v>
      </c>
      <c r="D29" s="145">
        <v>36</v>
      </c>
      <c r="E29" s="145">
        <v>25.7</v>
      </c>
      <c r="F29" s="145">
        <v>0</v>
      </c>
      <c r="G29" s="145">
        <v>59</v>
      </c>
      <c r="H29" s="193"/>
      <c r="J29" s="36"/>
      <c r="K29" s="61" t="s">
        <v>10</v>
      </c>
      <c r="L29" s="61" t="s">
        <v>61</v>
      </c>
      <c r="M29" s="61" t="s">
        <v>15</v>
      </c>
      <c r="N29" s="61" t="s">
        <v>16</v>
      </c>
      <c r="O29" s="61" t="s">
        <v>17</v>
      </c>
      <c r="P29" s="61" t="s">
        <v>18</v>
      </c>
      <c r="Q29" s="61" t="s">
        <v>20</v>
      </c>
      <c r="R29" s="61" t="s">
        <v>21</v>
      </c>
      <c r="S29" s="61" t="s">
        <v>22</v>
      </c>
      <c r="U29" s="216" t="s">
        <v>71</v>
      </c>
      <c r="V29" s="240">
        <f>SUM(V28,(V36*Z28),(V35*Z29))</f>
        <v>34.333779999999997</v>
      </c>
      <c r="W29" s="217" t="s">
        <v>72</v>
      </c>
      <c r="X29" s="280">
        <f>SUM(X28,(X36*AA28))</f>
        <v>40.570399999999999</v>
      </c>
      <c r="Y29" s="244" t="s">
        <v>73</v>
      </c>
      <c r="Z29" s="128">
        <v>12</v>
      </c>
      <c r="AA29" s="142">
        <v>10.5</v>
      </c>
    </row>
    <row r="30" spans="1:27" x14ac:dyDescent="0.35">
      <c r="A30" s="192" t="s">
        <v>29</v>
      </c>
      <c r="B30" s="145" t="s">
        <v>21</v>
      </c>
      <c r="C30" s="145">
        <v>31.1</v>
      </c>
      <c r="D30" s="145">
        <v>34.700000000000003</v>
      </c>
      <c r="E30" s="145">
        <v>28.6</v>
      </c>
      <c r="F30" s="145">
        <v>0.3</v>
      </c>
      <c r="G30" s="145">
        <v>99</v>
      </c>
      <c r="H30" s="193">
        <f>D30/D28</f>
        <v>0.98300283286118995</v>
      </c>
      <c r="J30" s="192" t="s">
        <v>24</v>
      </c>
      <c r="K30" s="197">
        <f>B4*(Assumptions!$E$27/28)</f>
        <v>193</v>
      </c>
      <c r="L30" s="198">
        <f>F4*(Assumptions!$E$27/28)</f>
        <v>306</v>
      </c>
      <c r="M30" s="198">
        <f>G4*(Assumptions!$E$27/28)</f>
        <v>64</v>
      </c>
      <c r="N30" s="198">
        <f>H4*(Assumptions!$E$27/28)</f>
        <v>48</v>
      </c>
      <c r="O30" s="198">
        <f>I4*(Assumptions!$E$27/28)</f>
        <v>32</v>
      </c>
      <c r="P30" s="198">
        <f>J4*(Assumptions!$E$27/28)</f>
        <v>82</v>
      </c>
      <c r="Q30" s="197">
        <f>$K4*(Assumptions!$E$27/28)</f>
        <v>726</v>
      </c>
      <c r="R30" s="198" t="e">
        <f>($K4*(Assumptions!$E$27/28))*(VLOOKUP($J30&amp;R$29,$A$16:$H$51,9,FALSE))</f>
        <v>#N/A</v>
      </c>
      <c r="S30" s="254" t="e">
        <f>($K4*(Assumptions!$E$27/28))*(VLOOKUP($J30&amp;S$29,$A$16:$H$51,9,FALSE))</f>
        <v>#N/A</v>
      </c>
      <c r="U30" s="61" t="s">
        <v>74</v>
      </c>
      <c r="V30" s="270">
        <v>0.37764999999999999</v>
      </c>
      <c r="W30" s="61" t="s">
        <v>75</v>
      </c>
      <c r="X30" s="271">
        <v>3.0211999999999999</v>
      </c>
    </row>
    <row r="31" spans="1:27" x14ac:dyDescent="0.35">
      <c r="A31" s="192" t="s">
        <v>29</v>
      </c>
      <c r="B31" s="145" t="s">
        <v>22</v>
      </c>
      <c r="C31" s="145">
        <v>34.1</v>
      </c>
      <c r="D31" s="145">
        <v>36.9</v>
      </c>
      <c r="E31" s="145">
        <v>23.4</v>
      </c>
      <c r="F31" s="145">
        <v>0</v>
      </c>
      <c r="G31" s="145">
        <v>39</v>
      </c>
      <c r="H31" s="193">
        <f>D31/D28</f>
        <v>1.0453257790368273</v>
      </c>
      <c r="J31" s="192" t="s">
        <v>26</v>
      </c>
      <c r="K31" s="199">
        <f>B5*(Assumptions!$E$27/28)</f>
        <v>198</v>
      </c>
      <c r="L31" s="200">
        <f>F5*(Assumptions!$E$27/28)</f>
        <v>332</v>
      </c>
      <c r="M31" s="200">
        <f>G5*(Assumptions!$E$27/28)</f>
        <v>66</v>
      </c>
      <c r="N31" s="200">
        <f>H5*(Assumptions!$E$27/28)</f>
        <v>53</v>
      </c>
      <c r="O31" s="200">
        <f>I5*(Assumptions!$E$27/28)</f>
        <v>33</v>
      </c>
      <c r="P31" s="200">
        <f>J5*(Assumptions!$E$27/28)</f>
        <v>88</v>
      </c>
      <c r="Q31" s="199">
        <f>$K5*(Assumptions!$E$27/28)</f>
        <v>769</v>
      </c>
      <c r="R31" s="200" t="e">
        <f>($K5*(Assumptions!$E$27/28))*(VLOOKUP($J31&amp;R$29,$A$16:$H$51,9,FALSE))</f>
        <v>#N/A</v>
      </c>
      <c r="S31" s="255" t="e">
        <f>($K5*(Assumptions!$E$27/28))*(VLOOKUP($J31&amp;S$29,$A$16:$H$51,9,FALSE))</f>
        <v>#N/A</v>
      </c>
      <c r="U31" s="211" t="s">
        <v>76</v>
      </c>
      <c r="V31" s="272">
        <v>1.9421999999999999</v>
      </c>
      <c r="W31" s="211" t="s">
        <v>77</v>
      </c>
      <c r="X31" s="273">
        <v>1.2408499999999998</v>
      </c>
    </row>
    <row r="32" spans="1:27" x14ac:dyDescent="0.35">
      <c r="A32" s="192" t="s">
        <v>30</v>
      </c>
      <c r="B32" s="145" t="s">
        <v>20</v>
      </c>
      <c r="C32" s="145">
        <v>31.5</v>
      </c>
      <c r="D32" s="145">
        <v>32.5</v>
      </c>
      <c r="E32" s="145">
        <v>23.9</v>
      </c>
      <c r="F32" s="145">
        <v>0.26</v>
      </c>
      <c r="G32" s="145">
        <v>120</v>
      </c>
      <c r="H32" s="193">
        <v>1</v>
      </c>
      <c r="J32" s="192" t="s">
        <v>27</v>
      </c>
      <c r="K32" s="199">
        <f>B6*(Assumptions!$E$27/28)</f>
        <v>214</v>
      </c>
      <c r="L32" s="200">
        <f>F6*(Assumptions!$E$27/28)</f>
        <v>325</v>
      </c>
      <c r="M32" s="200">
        <f>G6*(Assumptions!$E$27/28)</f>
        <v>71</v>
      </c>
      <c r="N32" s="200">
        <f>H6*(Assumptions!$E$27/28)</f>
        <v>50</v>
      </c>
      <c r="O32" s="200">
        <f>I6*(Assumptions!$E$27/28)</f>
        <v>36</v>
      </c>
      <c r="P32" s="200">
        <f>J6*(Assumptions!$E$27/28)</f>
        <v>89</v>
      </c>
      <c r="Q32" s="199">
        <f>$K6*(Assumptions!$E$27/28)</f>
        <v>784</v>
      </c>
      <c r="R32" s="200" t="e">
        <f>($K6*(Assumptions!$E$27/28))*(VLOOKUP($J32&amp;R$29,$A$16:$H$51,9,FALSE))</f>
        <v>#N/A</v>
      </c>
      <c r="S32" s="255" t="e">
        <f>($K6*(Assumptions!$E$27/28))*(VLOOKUP($J32&amp;S$29,$A$16:$H$51,9,FALSE))</f>
        <v>#N/A</v>
      </c>
      <c r="U32" s="211" t="s">
        <v>78</v>
      </c>
      <c r="V32" s="272">
        <v>-3.1830500000000002</v>
      </c>
      <c r="W32" s="211" t="str">
        <f>U31</f>
        <v>Chainsaw</v>
      </c>
      <c r="X32" s="273">
        <v>0.43159999999999998</v>
      </c>
    </row>
    <row r="33" spans="1:31" x14ac:dyDescent="0.35">
      <c r="A33" s="192" t="s">
        <v>30</v>
      </c>
      <c r="B33" s="145" t="s">
        <v>57</v>
      </c>
      <c r="C33" s="145">
        <v>31.5</v>
      </c>
      <c r="D33" s="145">
        <v>32.700000000000003</v>
      </c>
      <c r="E33" s="145">
        <v>24.8</v>
      </c>
      <c r="F33" s="145">
        <v>0.01</v>
      </c>
      <c r="G33" s="145">
        <v>125</v>
      </c>
      <c r="H33" s="193"/>
      <c r="J33" s="192" t="s">
        <v>29</v>
      </c>
      <c r="K33" s="199">
        <f>B7*(Assumptions!$E$27/28)</f>
        <v>273</v>
      </c>
      <c r="L33" s="200">
        <f>F7*(Assumptions!$E$27/28)</f>
        <v>329</v>
      </c>
      <c r="M33" s="200">
        <f>G7*(Assumptions!$E$27/28)</f>
        <v>91</v>
      </c>
      <c r="N33" s="200">
        <f>H7*(Assumptions!$E$27/28)</f>
        <v>49</v>
      </c>
      <c r="O33" s="200">
        <f>I7*(Assumptions!$E$27/28)</f>
        <v>45</v>
      </c>
      <c r="P33" s="200">
        <f>J7*(Assumptions!$E$27/28)</f>
        <v>88</v>
      </c>
      <c r="Q33" s="199">
        <f>$K7*(Assumptions!$E$27/28)</f>
        <v>875</v>
      </c>
      <c r="R33" s="200" t="e">
        <f>($K7*(Assumptions!$E$27/28))*(VLOOKUP($J33&amp;R$29,$A$16:$H$51,9,FALSE))</f>
        <v>#N/A</v>
      </c>
      <c r="S33" s="255" t="e">
        <f>($K7*(Assumptions!$E$27/28))*(VLOOKUP($J33&amp;S$29,$A$16:$H$51,9,FALSE))</f>
        <v>#N/A</v>
      </c>
      <c r="U33" s="212" t="s">
        <v>79</v>
      </c>
      <c r="V33" s="274">
        <v>3.6685999999999996</v>
      </c>
      <c r="W33" s="211" t="str">
        <f>U32</f>
        <v>Easy</v>
      </c>
      <c r="X33" s="273">
        <v>-1.3487499999999999</v>
      </c>
      <c r="AC33" s="147"/>
      <c r="AE33" s="147"/>
    </row>
    <row r="34" spans="1:31" x14ac:dyDescent="0.35">
      <c r="A34" s="192" t="s">
        <v>30</v>
      </c>
      <c r="B34" s="145" t="s">
        <v>21</v>
      </c>
      <c r="C34" s="145">
        <v>29.8</v>
      </c>
      <c r="D34" s="145">
        <v>31</v>
      </c>
      <c r="E34" s="145">
        <v>29.8</v>
      </c>
      <c r="F34" s="145">
        <v>0.27</v>
      </c>
      <c r="G34" s="145">
        <v>159</v>
      </c>
      <c r="H34" s="193">
        <f>D34/D32</f>
        <v>0.9538461538461539</v>
      </c>
      <c r="J34" s="192" t="s">
        <v>30</v>
      </c>
      <c r="K34" s="199">
        <f>B8*(Assumptions!$E$27/28)</f>
        <v>232</v>
      </c>
      <c r="L34" s="200">
        <f>F8*(Assumptions!$E$27/28)</f>
        <v>325</v>
      </c>
      <c r="M34" s="200">
        <f>G8*(Assumptions!$E$27/28)</f>
        <v>77</v>
      </c>
      <c r="N34" s="200">
        <f>H8*(Assumptions!$E$27/28)</f>
        <v>50</v>
      </c>
      <c r="O34" s="200">
        <f>I8*(Assumptions!$E$27/28)</f>
        <v>39</v>
      </c>
      <c r="P34" s="200">
        <f>J8*(Assumptions!$E$27/28)</f>
        <v>86</v>
      </c>
      <c r="Q34" s="199">
        <f>$K8*(Assumptions!$E$27/28)</f>
        <v>809</v>
      </c>
      <c r="R34" s="200" t="e">
        <f>($K8*(Assumptions!$E$27/28))*(VLOOKUP($J34&amp;R$29,$A$16:$H$51,9,FALSE))</f>
        <v>#N/A</v>
      </c>
      <c r="S34" s="255" t="e">
        <f>($K8*(Assumptions!$E$27/28))*(VLOOKUP($J34&amp;S$29,$A$16:$H$51,9,FALSE))</f>
        <v>#N/A</v>
      </c>
      <c r="U34" s="211" t="s">
        <v>80</v>
      </c>
      <c r="V34" s="272">
        <v>-7.5529999999999998E-3</v>
      </c>
      <c r="W34" s="212" t="s">
        <v>81</v>
      </c>
      <c r="X34" s="281">
        <v>0</v>
      </c>
      <c r="AC34" s="148"/>
      <c r="AE34" s="147"/>
    </row>
    <row r="35" spans="1:31" x14ac:dyDescent="0.35">
      <c r="A35" s="192" t="s">
        <v>30</v>
      </c>
      <c r="B35" s="145" t="s">
        <v>22</v>
      </c>
      <c r="C35" s="145">
        <v>33.200000000000003</v>
      </c>
      <c r="D35" s="145">
        <v>34.4</v>
      </c>
      <c r="E35" s="145">
        <v>20.8</v>
      </c>
      <c r="F35" s="145">
        <v>0</v>
      </c>
      <c r="G35" s="145">
        <v>77</v>
      </c>
      <c r="H35" s="193">
        <f>D35/D32</f>
        <v>1.0584615384615383</v>
      </c>
      <c r="J35" s="192" t="s">
        <v>32</v>
      </c>
      <c r="K35" s="199">
        <f>B9*(Assumptions!$E$27/28)</f>
        <v>169</v>
      </c>
      <c r="L35" s="200">
        <f>F9*(Assumptions!$E$27/28)</f>
        <v>303</v>
      </c>
      <c r="M35" s="200">
        <f>G9*(Assumptions!$E$27/28)</f>
        <v>56</v>
      </c>
      <c r="N35" s="200">
        <f>H9*(Assumptions!$E$27/28)</f>
        <v>48</v>
      </c>
      <c r="O35" s="200">
        <f>I9*(Assumptions!$E$27/28)</f>
        <v>28</v>
      </c>
      <c r="P35" s="200">
        <f>J9*(Assumptions!$E$27/28)</f>
        <v>82</v>
      </c>
      <c r="Q35" s="199">
        <f>$K9*(Assumptions!$E$27/28)</f>
        <v>686</v>
      </c>
      <c r="R35" s="200" t="e">
        <f>($K9*(Assumptions!$E$27/28))*(VLOOKUP($J35&amp;R$29,$A$16:$H$51,9,FALSE))</f>
        <v>#N/A</v>
      </c>
      <c r="S35" s="255" t="e">
        <f>($K9*(Assumptions!$E$27/28))*(VLOOKUP($J35&amp;S$29,$A$16:$H$51,9,FALSE))</f>
        <v>#N/A</v>
      </c>
      <c r="U35" s="211" t="s">
        <v>82</v>
      </c>
      <c r="V35" s="242">
        <v>-0.19421999999999998</v>
      </c>
      <c r="W35" s="211" t="s">
        <v>82</v>
      </c>
      <c r="X35" s="246">
        <v>0</v>
      </c>
      <c r="AC35" s="147"/>
      <c r="AE35" s="147"/>
    </row>
    <row r="36" spans="1:31" x14ac:dyDescent="0.35">
      <c r="A36" s="192" t="s">
        <v>32</v>
      </c>
      <c r="B36" s="145" t="s">
        <v>20</v>
      </c>
      <c r="C36" s="145">
        <v>29.2</v>
      </c>
      <c r="D36" s="145">
        <v>27.2</v>
      </c>
      <c r="E36" s="145">
        <v>29.1</v>
      </c>
      <c r="F36" s="145">
        <v>0.45</v>
      </c>
      <c r="G36" s="145">
        <v>62</v>
      </c>
      <c r="H36" s="193">
        <v>1</v>
      </c>
      <c r="J36" s="192" t="s">
        <v>33</v>
      </c>
      <c r="K36" s="199">
        <f>B10*(Assumptions!$E$27/28)</f>
        <v>169</v>
      </c>
      <c r="L36" s="200">
        <f>F10*(Assumptions!$E$27/28)</f>
        <v>264</v>
      </c>
      <c r="M36" s="200">
        <f>G10*(Assumptions!$E$27/28)</f>
        <v>56</v>
      </c>
      <c r="N36" s="200">
        <f>H10*(Assumptions!$E$27/28)</f>
        <v>41</v>
      </c>
      <c r="O36" s="200">
        <f>I10*(Assumptions!$E$27/28)</f>
        <v>28</v>
      </c>
      <c r="P36" s="200">
        <f>J10*(Assumptions!$E$27/28)</f>
        <v>71</v>
      </c>
      <c r="Q36" s="199">
        <f>$K10*(Assumptions!$E$27/28)</f>
        <v>629</v>
      </c>
      <c r="R36" s="200" t="e">
        <f>($K10*(Assumptions!$E$27/28))*(VLOOKUP($J36&amp;R$29,$A$16:$H$51,9,FALSE))</f>
        <v>#N/A</v>
      </c>
      <c r="S36" s="255" t="e">
        <f>($K10*(Assumptions!$E$27/28))*(VLOOKUP($J36&amp;S$29,$A$16:$H$51,9,FALSE))</f>
        <v>#N/A</v>
      </c>
      <c r="U36" s="211" t="s">
        <v>83</v>
      </c>
      <c r="V36" s="242">
        <v>-2.5895999999999999</v>
      </c>
      <c r="W36" s="211" t="s">
        <v>83</v>
      </c>
      <c r="X36" s="242">
        <v>-2.4816999999999996</v>
      </c>
      <c r="AE36" s="147"/>
    </row>
    <row r="37" spans="1:31" x14ac:dyDescent="0.35">
      <c r="A37" s="192" t="s">
        <v>32</v>
      </c>
      <c r="B37" s="145" t="s">
        <v>57</v>
      </c>
      <c r="C37" s="145">
        <v>29.5</v>
      </c>
      <c r="D37" s="145">
        <v>27.4</v>
      </c>
      <c r="E37" s="145">
        <v>31.4</v>
      </c>
      <c r="F37" s="145">
        <v>7.0000000000000007E-2</v>
      </c>
      <c r="G37" s="145">
        <v>56</v>
      </c>
      <c r="H37" s="193"/>
      <c r="J37" s="192" t="s">
        <v>34</v>
      </c>
      <c r="K37" s="199">
        <f>B11*(Assumptions!$E$27/28)</f>
        <v>192</v>
      </c>
      <c r="L37" s="200">
        <f>F11*(Assumptions!$E$27/28)</f>
        <v>270</v>
      </c>
      <c r="M37" s="200">
        <f>G11*(Assumptions!$E$27/28)</f>
        <v>64</v>
      </c>
      <c r="N37" s="200">
        <f>H11*(Assumptions!$E$27/28)</f>
        <v>42</v>
      </c>
      <c r="O37" s="200">
        <f>I11*(Assumptions!$E$27/28)</f>
        <v>32</v>
      </c>
      <c r="P37" s="200">
        <f>J11*(Assumptions!$E$27/28)</f>
        <v>71</v>
      </c>
      <c r="Q37" s="199">
        <f>$K11*(Assumptions!$E$27/28)</f>
        <v>673</v>
      </c>
      <c r="R37" s="200" t="e">
        <f>($K11*(Assumptions!$E$27/28))*(VLOOKUP($J37&amp;R$29,$A$16:$H$51,9,FALSE))</f>
        <v>#N/A</v>
      </c>
      <c r="S37" s="255" t="e">
        <f>($K11*(Assumptions!$E$27/28))*(VLOOKUP($J37&amp;S$29,$A$16:$H$51,9,FALSE))</f>
        <v>#N/A</v>
      </c>
      <c r="U37" s="211" t="s">
        <v>52</v>
      </c>
      <c r="V37" s="242">
        <v>5.3949999999999998E-2</v>
      </c>
      <c r="W37" s="211" t="str">
        <f>U37</f>
        <v>Slope</v>
      </c>
      <c r="X37" s="242">
        <v>4.7475999999999997E-2</v>
      </c>
    </row>
    <row r="38" spans="1:31" x14ac:dyDescent="0.35">
      <c r="A38" s="192" t="s">
        <v>32</v>
      </c>
      <c r="B38" s="145" t="s">
        <v>21</v>
      </c>
      <c r="C38" s="145">
        <v>27.8</v>
      </c>
      <c r="D38" s="145">
        <v>25.6</v>
      </c>
      <c r="E38" s="145">
        <v>34.700000000000003</v>
      </c>
      <c r="F38" s="145">
        <v>0.42</v>
      </c>
      <c r="G38" s="145">
        <v>82</v>
      </c>
      <c r="H38" s="193">
        <f>D38/D36</f>
        <v>0.94117647058823539</v>
      </c>
      <c r="J38" s="194" t="s">
        <v>35</v>
      </c>
      <c r="K38" s="201">
        <f>B12*(Assumptions!$E$27/28)</f>
        <v>216</v>
      </c>
      <c r="L38" s="202">
        <f>F12*(Assumptions!$E$27/28)</f>
        <v>265</v>
      </c>
      <c r="M38" s="202">
        <f>G12*(Assumptions!$E$27/28)</f>
        <v>72</v>
      </c>
      <c r="N38" s="202">
        <f>H12*(Assumptions!$E$27/28)</f>
        <v>40</v>
      </c>
      <c r="O38" s="202">
        <f>I12*(Assumptions!$E$27/28)</f>
        <v>36</v>
      </c>
      <c r="P38" s="202">
        <f>J12*(Assumptions!$E$27/28)</f>
        <v>68</v>
      </c>
      <c r="Q38" s="201">
        <f>$K12*(Assumptions!$E$27/28)</f>
        <v>699</v>
      </c>
      <c r="R38" s="202" t="e">
        <f>($K12*(Assumptions!$E$27/28))*(VLOOKUP($J38&amp;R$29,$A$16:$H$51,9,FALSE))</f>
        <v>#N/A</v>
      </c>
      <c r="S38" s="256" t="e">
        <f>($K12*(Assumptions!$E$27/28))*(VLOOKUP($J38&amp;S$29,$A$16:$H$51,9,FALSE))</f>
        <v>#N/A</v>
      </c>
      <c r="U38" s="211" t="s">
        <v>31</v>
      </c>
      <c r="V38" s="242">
        <v>0.75529999999999997</v>
      </c>
      <c r="W38" s="211" t="str">
        <f>U38</f>
        <v>SI</v>
      </c>
      <c r="X38" s="246">
        <v>0</v>
      </c>
    </row>
    <row r="39" spans="1:31" x14ac:dyDescent="0.35">
      <c r="A39" s="192" t="s">
        <v>32</v>
      </c>
      <c r="B39" s="145" t="s">
        <v>22</v>
      </c>
      <c r="C39" s="145">
        <v>31.1</v>
      </c>
      <c r="D39" s="145">
        <v>29.4</v>
      </c>
      <c r="E39" s="145">
        <v>25</v>
      </c>
      <c r="F39" s="145">
        <v>0</v>
      </c>
      <c r="G39" s="145">
        <v>39</v>
      </c>
      <c r="H39" s="193">
        <f>D39/D36</f>
        <v>1.0808823529411764</v>
      </c>
      <c r="U39" s="211" t="s">
        <v>25</v>
      </c>
      <c r="V39" s="242">
        <v>1.4027000000000001</v>
      </c>
      <c r="W39" s="211" t="str">
        <f>U39</f>
        <v>CNI</v>
      </c>
      <c r="X39" s="242">
        <v>2.7514499999999997</v>
      </c>
    </row>
    <row r="40" spans="1:31" x14ac:dyDescent="0.35">
      <c r="A40" s="192" t="s">
        <v>33</v>
      </c>
      <c r="B40" s="145" t="s">
        <v>20</v>
      </c>
      <c r="C40" s="145">
        <v>24.7</v>
      </c>
      <c r="D40" s="145">
        <v>24.3</v>
      </c>
      <c r="E40" s="145">
        <v>16.5</v>
      </c>
      <c r="F40" s="145">
        <v>0.36</v>
      </c>
      <c r="G40" s="145">
        <v>99</v>
      </c>
      <c r="H40" s="193">
        <v>1</v>
      </c>
      <c r="K40" s="341" t="s">
        <v>84</v>
      </c>
      <c r="L40" s="342"/>
      <c r="M40" s="343"/>
      <c r="U40" s="211" t="s">
        <v>28</v>
      </c>
      <c r="V40" s="242">
        <v>3.4527999999999999</v>
      </c>
      <c r="W40" s="211" t="str">
        <f>U40</f>
        <v>ECHB</v>
      </c>
      <c r="X40" s="242">
        <v>4.9094499999999996</v>
      </c>
    </row>
    <row r="41" spans="1:31" x14ac:dyDescent="0.35">
      <c r="A41" s="192" t="s">
        <v>33</v>
      </c>
      <c r="B41" s="145" t="s">
        <v>57</v>
      </c>
      <c r="C41" s="145">
        <v>24.6</v>
      </c>
      <c r="D41" s="145">
        <v>24.6</v>
      </c>
      <c r="E41" s="145">
        <v>17.600000000000001</v>
      </c>
      <c r="F41" s="145">
        <v>0.08</v>
      </c>
      <c r="G41" s="145">
        <v>79</v>
      </c>
      <c r="H41" s="193"/>
      <c r="K41" s="36" t="s">
        <v>85</v>
      </c>
      <c r="L41" s="36" t="s">
        <v>86</v>
      </c>
      <c r="M41" s="36" t="s">
        <v>87</v>
      </c>
      <c r="U41" s="212" t="s">
        <v>23</v>
      </c>
      <c r="V41" s="245">
        <v>0</v>
      </c>
      <c r="W41" s="212" t="str">
        <f>U41</f>
        <v>ONI</v>
      </c>
      <c r="X41" s="243">
        <v>3.4527999999999999</v>
      </c>
    </row>
    <row r="42" spans="1:31" x14ac:dyDescent="0.35">
      <c r="A42" s="192" t="s">
        <v>33</v>
      </c>
      <c r="B42" s="145" t="s">
        <v>21</v>
      </c>
      <c r="C42" s="145">
        <v>20.8</v>
      </c>
      <c r="D42" s="145">
        <v>21.7</v>
      </c>
      <c r="E42" s="145">
        <v>24.7</v>
      </c>
      <c r="F42" s="145">
        <v>0.45</v>
      </c>
      <c r="G42" s="145">
        <v>122</v>
      </c>
      <c r="H42" s="193">
        <f>D42/D40</f>
        <v>0.89300411522633738</v>
      </c>
      <c r="K42" s="61">
        <v>20</v>
      </c>
      <c r="L42" s="272">
        <v>0.2</v>
      </c>
      <c r="M42" s="271">
        <v>0.21</v>
      </c>
    </row>
    <row r="43" spans="1:31" x14ac:dyDescent="0.35">
      <c r="A43" s="192" t="s">
        <v>33</v>
      </c>
      <c r="B43" s="145" t="s">
        <v>22</v>
      </c>
      <c r="C43" s="145">
        <v>23.3</v>
      </c>
      <c r="D43" s="145">
        <v>27</v>
      </c>
      <c r="E43" s="145">
        <v>6.3</v>
      </c>
      <c r="F43" s="145">
        <v>0</v>
      </c>
      <c r="G43" s="145">
        <v>55</v>
      </c>
      <c r="H43" s="193">
        <f>D43/D40</f>
        <v>1.1111111111111112</v>
      </c>
      <c r="K43" s="211">
        <v>21</v>
      </c>
      <c r="L43" s="272">
        <v>0.2</v>
      </c>
      <c r="M43" s="273">
        <v>0.21</v>
      </c>
      <c r="R43" s="341" t="s">
        <v>88</v>
      </c>
      <c r="S43" s="342"/>
      <c r="T43" s="342"/>
      <c r="U43" s="343"/>
      <c r="V43" s="341" t="s">
        <v>89</v>
      </c>
      <c r="W43" s="342"/>
      <c r="X43" s="342"/>
      <c r="Y43" s="343"/>
    </row>
    <row r="44" spans="1:31" x14ac:dyDescent="0.35">
      <c r="A44" s="192" t="s">
        <v>34</v>
      </c>
      <c r="B44" s="145" t="s">
        <v>20</v>
      </c>
      <c r="C44" s="145">
        <v>24.4</v>
      </c>
      <c r="D44" s="145">
        <v>27</v>
      </c>
      <c r="E44" s="145">
        <v>14.4</v>
      </c>
      <c r="F44" s="145">
        <v>0.41</v>
      </c>
      <c r="G44" s="145">
        <v>110</v>
      </c>
      <c r="H44" s="193">
        <v>1</v>
      </c>
      <c r="K44" s="211">
        <v>22</v>
      </c>
      <c r="L44" s="272">
        <v>0.2</v>
      </c>
      <c r="M44" s="273">
        <v>0.21</v>
      </c>
      <c r="P44" s="21"/>
      <c r="R44" s="36" t="s">
        <v>90</v>
      </c>
      <c r="S44" s="74" t="str">
        <f>Y3</f>
        <v>Mean</v>
      </c>
      <c r="T44" s="74" t="str">
        <f t="shared" ref="T44:U44" si="12">Z3</f>
        <v>25 percentile</v>
      </c>
      <c r="U44" s="74" t="str">
        <f t="shared" si="12"/>
        <v>75 percentile</v>
      </c>
      <c r="V44" s="74" t="str">
        <f>R44</f>
        <v>Regional costs</v>
      </c>
      <c r="W44" s="190" t="str">
        <f>S44</f>
        <v>Mean</v>
      </c>
      <c r="X44" s="190" t="str">
        <f t="shared" ref="X44:Y44" si="13">T44</f>
        <v>25 percentile</v>
      </c>
      <c r="Y44" s="190" t="str">
        <f t="shared" si="13"/>
        <v>75 percentile</v>
      </c>
    </row>
    <row r="45" spans="1:31" x14ac:dyDescent="0.35">
      <c r="A45" s="192" t="s">
        <v>34</v>
      </c>
      <c r="B45" s="145" t="s">
        <v>57</v>
      </c>
      <c r="C45" s="145">
        <v>24.8</v>
      </c>
      <c r="D45" s="145">
        <v>26.3</v>
      </c>
      <c r="E45" s="145">
        <v>16.8</v>
      </c>
      <c r="F45" s="145">
        <v>0.02</v>
      </c>
      <c r="G45" s="145">
        <v>100</v>
      </c>
      <c r="H45" s="193"/>
      <c r="K45" s="211">
        <v>23</v>
      </c>
      <c r="L45" s="272">
        <v>0.2</v>
      </c>
      <c r="M45" s="273">
        <v>0.21</v>
      </c>
      <c r="Q45" t="str">
        <f>J30</f>
        <v>Auckland</v>
      </c>
      <c r="R45" s="197" t="e">
        <f>IF(#REF!=$U$38,$V$38,IF(#REF!=$U$39,$V$39,IF(#REF!=$U$40,$V$40,$V$41)))</f>
        <v>#REF!</v>
      </c>
      <c r="S45" s="213" t="e">
        <f>(IF((VLOOKUP($A4&amp;Y$3,$A$16:$H$51,6,FALSE))&lt;=$U$16,SUM(($K4*(VLOOKUP($A4&amp;Y$3,$A$16:$H$51,9,FALSE))*$R$16*$V$34),$W$18,((VLOOKUP($A4&amp;Y$3,$A$16:$H$51,6,FALSE)*$V$37))),IF((VLOOKUP($A4&amp;Y$3,$A$16:$H$51,6,FALSE))&lt;=$U$17,SUM(($K4*(VLOOKUP($A4&amp;Y$3,$A$16:$H$51,9,FALSE))*$R$16*$V$34),$W$17,(VLOOKUP($A4&amp;Y$3,$A$16:$H$51,6,FALSE)*$V$37)),IF((VLOOKUP($A4&amp;Y$3,$A$16:$H$51,6,FALSE))&lt;=$U$18,SUM(($K4*(VLOOKUP($A4&amp;Y$3,$A$16:$H$51,9,FALSE))*$R$16*$V$34),$W$16,(VLOOKUP($A4&amp;Y$3,$A$16:$H$51,6,FALSE)*$V$37)),0))))</f>
        <v>#N/A</v>
      </c>
      <c r="T45" s="172" t="e">
        <f>(IF((VLOOKUP($A4&amp;Z$3,$A$16:$H$51,6,FALSE))&lt;=$U$16,SUM(($K4*(VLOOKUP($A4&amp;Z$3,$A$16:$H$51,9,FALSE))*$R$16*$V$34),$W$18,((VLOOKUP($A4&amp;Z$3,$A$16:$H$51,6,FALSE)*$V$37))),IF((VLOOKUP($A4&amp;Z$3,$A$16:$H$51,6,FALSE))&lt;=$U$17,SUM(($K4*(VLOOKUP($A4&amp;Z$3,$A$16:$H$51,9,FALSE))*$R$16*$V$34),$W$17,(VLOOKUP($A4&amp;Z$3,$A$16:$H$51,6,FALSE)*$V$37)),IF((VLOOKUP($A4&amp;Z$3,$A$16:$H$51,6,FALSE))&lt;=$U$18,SUM(($K4*(VLOOKUP($A4&amp;Z$3,$A$16:$H$51,9,FALSE))*$R$16*$V$34),$W$16,(VLOOKUP($A4&amp;Z$3,$A$16:$H$51,6,FALSE)*$V$37)),0))))</f>
        <v>#N/A</v>
      </c>
      <c r="U45" s="173" t="e">
        <f>(IF((VLOOKUP($A4&amp;AA$3,$A$16:$H$51,6,FALSE))&lt;=$U$16,SUM(($K4*(VLOOKUP($A4&amp;AA$3,$A$16:$H$51,9,FALSE))*$R$16*$V$34),$W$18,((VLOOKUP($A4&amp;AA$3,$A$16:$H$51,6,FALSE)*$V$37))),IF((VLOOKUP($A4&amp;AA$3,$A$16:$H$51,6,FALSE))&lt;=$U$17,SUM(($K4*(VLOOKUP($A4&amp;AA$3,$A$16:$H$51,9,FALSE))*$R$16*$V$34),$W$17,(VLOOKUP($A4&amp;AA$3,$A$16:$H$51,6,FALSE)*$V$37)),IF((VLOOKUP($A4&amp;AA$3,$A$16:$H$51,6,FALSE))&lt;=$U$18,SUM(($K4*(VLOOKUP($A4&amp;AA$3,$A$16:$H$51,9,FALSE))*$R$16*$V$34),$W$16,(VLOOKUP($A4&amp;AA$3,$A$16:$H$51,6,FALSE)*$V$37)),0))))</f>
        <v>#N/A</v>
      </c>
      <c r="V45" s="172" t="e">
        <f>IF(#REF!=$W$38,$X$38,IF(#REF!=$W$39,$X$39,IF(#REF!=$W$40,$X$40,$X$41)))</f>
        <v>#REF!</v>
      </c>
      <c r="W45" s="213" t="e">
        <f>(IF((VLOOKUP($A4&amp;Y$3,$A$16:$H$51,6,FALSE))&lt;=$U$18,0,IF((VLOOKUP($A4&amp;Y$3,$A$16:$H$51,6,FALSE))&lt;=$U$19,SUM($X$17,(VLOOKUP($A4&amp;Y$3,$A$16:$H$51,6,FALSE)*$X$37)),IF((VLOOKUP($A4&amp;Y$3,$A$16:$H$51,6,FALSE))&gt;=$U$19,SUM($X$16,(VLOOKUP($A4&amp;Y$3,$A$16:$H$51,6,FALSE)*$X$37))))))</f>
        <v>#N/A</v>
      </c>
      <c r="X45" s="172" t="e">
        <f>(IF((VLOOKUP($A4&amp;Z$3,$A$16:$H$51,6,FALSE))&lt;=$U$18,0,IF((VLOOKUP($A4&amp;Z$3,$A$16:$H$51,6,FALSE))&lt;=$U$19,SUM($X$17,(VLOOKUP($A4&amp;Z$3,$A$16:$H$51,6,FALSE)*$X$37)),IF((VLOOKUP($A4&amp;Z$3,$A$16:$H$51,6,FALSE))&gt;=$U$19,SUM($X$16,(VLOOKUP($A4&amp;Z$3,$A$16:$H$51,6,FALSE)*$X$37))))))</f>
        <v>#N/A</v>
      </c>
      <c r="Y45" s="173" t="e">
        <f>(IF((VLOOKUP($A4&amp;AA$3,$A$16:$H$51,6,FALSE))&lt;=$U$18,0,IF((VLOOKUP($A4&amp;AA$3,$A$16:$H$51,6,FALSE))&lt;=$U$19,SUM($X$17,(VLOOKUP($A4&amp;AA$3,$A$16:$H$51,6,FALSE)*$X$37)),IF((VLOOKUP($A4&amp;AA$3,$A$16:$H$51,6,FALSE))&gt;=$U$19,SUM($X$16,(VLOOKUP($A4&amp;AA$3,$A$16:$H$51,6,FALSE)*$X$37))))))</f>
        <v>#N/A</v>
      </c>
    </row>
    <row r="46" spans="1:31" x14ac:dyDescent="0.35">
      <c r="A46" s="192" t="s">
        <v>34</v>
      </c>
      <c r="B46" s="145" t="s">
        <v>21</v>
      </c>
      <c r="C46" s="145">
        <v>22.3</v>
      </c>
      <c r="D46" s="145">
        <v>23.8</v>
      </c>
      <c r="E46" s="145">
        <v>21</v>
      </c>
      <c r="F46" s="145">
        <v>0.28999999999999998</v>
      </c>
      <c r="G46" s="145">
        <v>118</v>
      </c>
      <c r="H46" s="193">
        <f>D46/D44</f>
        <v>0.88148148148148153</v>
      </c>
      <c r="K46" s="211">
        <v>24</v>
      </c>
      <c r="L46" s="272">
        <v>0.2</v>
      </c>
      <c r="M46" s="273">
        <v>0.21</v>
      </c>
      <c r="P46" s="21"/>
      <c r="Q46" t="str">
        <f t="shared" ref="Q46:Q53" si="14">J31</f>
        <v>Waikato/Taupo</v>
      </c>
      <c r="R46" s="247" t="e">
        <f>IF(#REF!=$U$38,$V$38,IF(#REF!=$U$39,$V$39,IF(#REF!=$U$40,$V$40,$V$41)))</f>
        <v>#REF!</v>
      </c>
      <c r="S46" s="214" t="e">
        <f>(IF((VLOOKUP($A5&amp;Y$3,$A$16:$H$51,6,FALSE))&lt;=$U$16,SUM(($K5*(VLOOKUP($A5&amp;Y$3,$A$16:$H$51,9,FALSE))*$R$16*$V$34),$W$18,((VLOOKUP($A5&amp;Y$3,$A$16:$H$51,6,FALSE)*$V$37))),IF((VLOOKUP($A5&amp;Y$3,$A$16:$H$51,6,FALSE))&lt;=$U$17,SUM(($K5*(VLOOKUP($A5&amp;Y$3,$A$16:$H$51,9,FALSE))*$R$16*$V$34),$W$17,(VLOOKUP($A5&amp;Y$3,$A$16:$H$51,6,FALSE)*$V$37)),IF((VLOOKUP($A5&amp;Y$3,$A$16:$H$51,6,FALSE))&lt;=$U$18,SUM(($K5*(VLOOKUP($A5&amp;Y$3,$A$16:$H$51,9,FALSE))*$R$16*$V$34),$W$16,(VLOOKUP($A5&amp;Y$3,$A$16:$H$51,6,FALSE)*$V$37)),0))))</f>
        <v>#N/A</v>
      </c>
      <c r="T46" s="180" t="e">
        <f>(IF((VLOOKUP($A5&amp;Z$3,$A$16:$H$51,6,FALSE))&lt;=$U$16,SUM(($K5*(VLOOKUP($A5&amp;Z$3,$A$16:$H$51,9,FALSE))*$R$16*$V$34),$W$18,((VLOOKUP($A5&amp;Z$3,$A$16:$H$51,6,FALSE)*$V$37))),IF((VLOOKUP($A5&amp;Z$3,$A$16:$H$51,6,FALSE))&lt;=$U$17,SUM(($K5*(VLOOKUP($A5&amp;Z$3,$A$16:$H$51,9,FALSE))*$R$16*$V$34),$W$17,(VLOOKUP($A5&amp;Z$3,$A$16:$H$51,6,FALSE)*$V$37)),IF((VLOOKUP($A5&amp;Z$3,$A$16:$H$51,6,FALSE))&lt;=$U$18,SUM(($K5*(VLOOKUP($A5&amp;Z$3,$A$16:$H$51,9,FALSE))*$R$16*$V$34),$W$16,(VLOOKUP($A5&amp;Z$3,$A$16:$H$51,6,FALSE)*$V$37)),0))))</f>
        <v>#N/A</v>
      </c>
      <c r="U46" s="181" t="e">
        <f>(IF((VLOOKUP($A5&amp;AA$3,$A$16:$H$51,6,FALSE))&lt;=$U$16,SUM(($K5*(VLOOKUP($A5&amp;AA$3,$A$16:$H$51,9,FALSE))*$R$16*$V$34),$W$18,((VLOOKUP($A5&amp;AA$3,$A$16:$H$51,6,FALSE)*$V$37))),IF((VLOOKUP($A5&amp;AA$3,$A$16:$H$51,6,FALSE))&lt;=$U$17,SUM(($K5*(VLOOKUP($A5&amp;AA$3,$A$16:$H$51,9,FALSE))*$R$16*$V$34),$W$17,(VLOOKUP($A5&amp;AA$3,$A$16:$H$51,6,FALSE)*$V$37)),IF((VLOOKUP($A5&amp;AA$3,$A$16:$H$51,6,FALSE))&lt;=$U$18,SUM(($K5*(VLOOKUP($A5&amp;AA$3,$A$16:$H$51,9,FALSE))*$R$16*$V$34),$W$16,(VLOOKUP($A5&amp;AA$3,$A$16:$H$51,6,FALSE)*$V$37)),0))))</f>
        <v>#N/A</v>
      </c>
      <c r="V46" s="180" t="e">
        <f>IF(#REF!=$W$38,$X$38,IF(#REF!=$W$39,$X$39,IF(#REF!=$W$40,$X$40,$X$41)))</f>
        <v>#REF!</v>
      </c>
      <c r="W46" s="214" t="e">
        <f>(IF((VLOOKUP($A5&amp;Y$3,$A$16:$H$51,6,FALSE))&lt;=$U$18,0,IF((VLOOKUP($A5&amp;Y$3,$A$16:$H$51,6,FALSE))&lt;=$U$19,SUM($X$17,(VLOOKUP($A5&amp;Y$3,$A$16:$H$51,6,FALSE)*$X$37)),IF((VLOOKUP($A5&amp;Y$3,$A$16:$H$51,6,FALSE))&gt;=$U$19,SUM($X$16,(VLOOKUP($A5&amp;Y$3,$A$16:$H$51,6,FALSE)*$X$37))))))</f>
        <v>#N/A</v>
      </c>
      <c r="X46" s="180" t="e">
        <f>(IF((VLOOKUP($A5&amp;Z$3,$A$16:$H$51,6,FALSE))&lt;=$U$18,0,IF((VLOOKUP($A5&amp;Z$3,$A$16:$H$51,6,FALSE))&lt;=$U$19,SUM($X$17,(VLOOKUP($A5&amp;Z$3,$A$16:$H$51,6,FALSE)*$X$37)),IF((VLOOKUP($A5&amp;Z$3,$A$16:$H$51,6,FALSE))&gt;=$U$19,SUM($X$16,(VLOOKUP($A5&amp;Z$3,$A$16:$H$51,6,FALSE)*$X$37))))))</f>
        <v>#N/A</v>
      </c>
      <c r="Y46" s="181" t="e">
        <f>(IF((VLOOKUP($A5&amp;AA$3,$A$16:$H$51,6,FALSE))&lt;=$U$18,0,IF((VLOOKUP($A5&amp;AA$3,$A$16:$H$51,6,FALSE))&lt;=$U$19,SUM($X$17,(VLOOKUP($A5&amp;AA$3,$A$16:$H$51,6,FALSE)*$X$37)),IF((VLOOKUP($A5&amp;AA$3,$A$16:$H$51,6,FALSE))&gt;=$U$19,SUM($X$16,(VLOOKUP($A5&amp;AA$3,$A$16:$H$51,6,FALSE)*$X$37))))))</f>
        <v>#N/A</v>
      </c>
    </row>
    <row r="47" spans="1:31" x14ac:dyDescent="0.35">
      <c r="A47" s="192" t="s">
        <v>34</v>
      </c>
      <c r="B47" s="145" t="s">
        <v>22</v>
      </c>
      <c r="C47" s="145">
        <v>27.1</v>
      </c>
      <c r="D47" s="145">
        <v>29</v>
      </c>
      <c r="E47" s="145">
        <v>13</v>
      </c>
      <c r="F47" s="145">
        <v>0</v>
      </c>
      <c r="G47" s="145">
        <v>73</v>
      </c>
      <c r="H47" s="193">
        <f>D47/D44</f>
        <v>1.0740740740740742</v>
      </c>
      <c r="K47" s="211">
        <v>25</v>
      </c>
      <c r="L47" s="272">
        <v>0.2</v>
      </c>
      <c r="M47" s="273">
        <v>0.21</v>
      </c>
      <c r="Q47" t="str">
        <f t="shared" si="14"/>
        <v>Bay of Plenty</v>
      </c>
      <c r="R47" s="247" t="e">
        <f>IF(#REF!=$U$38,$V$38,IF(#REF!=$U$39,$V$39,IF(#REF!=$U$40,$V$40,$V$41)))</f>
        <v>#REF!</v>
      </c>
      <c r="S47" s="214" t="e">
        <f>(IF((VLOOKUP($A6&amp;Y$3,$A$16:$H$51,6,FALSE))&lt;=$U$16,SUM(($K6*(VLOOKUP($A6&amp;Y$3,$A$16:$H$51,9,FALSE))*$R$16*$V$34),$W$18,((VLOOKUP($A6&amp;Y$3,$A$16:$H$51,6,FALSE)*$V$37))),IF((VLOOKUP($A6&amp;Y$3,$A$16:$H$51,6,FALSE))&lt;=$U$17,SUM(($K6*(VLOOKUP($A6&amp;Y$3,$A$16:$H$51,9,FALSE))*$R$16*$V$34),$W$17,(VLOOKUP($A6&amp;Y$3,$A$16:$H$51,6,FALSE)*$V$37)),IF((VLOOKUP($A6&amp;Y$3,$A$16:$H$51,6,FALSE))&lt;=$U$18,SUM(($K6*(VLOOKUP($A6&amp;Y$3,$A$16:$H$51,9,FALSE))*$R$16*$V$34),$W$16,(VLOOKUP($A6&amp;Y$3,$A$16:$H$51,6,FALSE)*$V$37)),0))))</f>
        <v>#N/A</v>
      </c>
      <c r="T47" s="180" t="e">
        <f>(IF((VLOOKUP($A6&amp;Z$3,$A$16:$H$51,6,FALSE))&lt;=$U$16,SUM(($K6*(VLOOKUP($A6&amp;Z$3,$A$16:$H$51,9,FALSE))*$R$16*$V$34),$W$18,((VLOOKUP($A6&amp;Z$3,$A$16:$H$51,6,FALSE)*$V$37))),IF((VLOOKUP($A6&amp;Z$3,$A$16:$H$51,6,FALSE))&lt;=$U$17,SUM(($K6*(VLOOKUP($A6&amp;Z$3,$A$16:$H$51,9,FALSE))*$R$16*$V$34),$W$17,(VLOOKUP($A6&amp;Z$3,$A$16:$H$51,6,FALSE)*$V$37)),IF((VLOOKUP($A6&amp;Z$3,$A$16:$H$51,6,FALSE))&lt;=$U$18,SUM(($K6*(VLOOKUP($A6&amp;Z$3,$A$16:$H$51,9,FALSE))*$R$16*$V$34),$W$16,(VLOOKUP($A6&amp;Z$3,$A$16:$H$51,6,FALSE)*$V$37)),0))))</f>
        <v>#N/A</v>
      </c>
      <c r="U47" s="181" t="e">
        <f>(IF((VLOOKUP($A6&amp;AA$3,$A$16:$H$51,6,FALSE))&lt;=$U$16,SUM(($K6*(VLOOKUP($A6&amp;AA$3,$A$16:$H$51,9,FALSE))*$R$16*$V$34),$W$18,((VLOOKUP($A6&amp;AA$3,$A$16:$H$51,6,FALSE)*$V$37))),IF((VLOOKUP($A6&amp;AA$3,$A$16:$H$51,6,FALSE))&lt;=$U$17,SUM(($K6*(VLOOKUP($A6&amp;AA$3,$A$16:$H$51,9,FALSE))*$R$16*$V$34),$W$17,(VLOOKUP($A6&amp;AA$3,$A$16:$H$51,6,FALSE)*$V$37)),IF((VLOOKUP($A6&amp;AA$3,$A$16:$H$51,6,FALSE))&lt;=$U$18,SUM(($K6*(VLOOKUP($A6&amp;AA$3,$A$16:$H$51,9,FALSE))*$R$16*$V$34),$W$16,(VLOOKUP($A6&amp;AA$3,$A$16:$H$51,6,FALSE)*$V$37)),0))))</f>
        <v>#N/A</v>
      </c>
      <c r="V47" s="180" t="e">
        <f>IF(#REF!=$W$38,$X$38,IF(#REF!=$W$39,$X$39,IF(#REF!=$W$40,$X$40,$X$41)))</f>
        <v>#REF!</v>
      </c>
      <c r="W47" s="214" t="e">
        <f>(IF((VLOOKUP($A6&amp;Y$3,$A$16:$H$51,6,FALSE))&lt;=$U$18,0,IF((VLOOKUP($A6&amp;Y$3,$A$16:$H$51,6,FALSE))&lt;=$U$19,SUM($X$17,(VLOOKUP($A6&amp;Y$3,$A$16:$H$51,6,FALSE)*$X$37)),IF((VLOOKUP($A6&amp;Y$3,$A$16:$H$51,6,FALSE))&gt;=$U$19,SUM($X$16,(VLOOKUP($A6&amp;Y$3,$A$16:$H$51,6,FALSE)*$X$37))))))</f>
        <v>#N/A</v>
      </c>
      <c r="X47" s="180" t="e">
        <f>(IF((VLOOKUP($A6&amp;Z$3,$A$16:$H$51,6,FALSE))&lt;=$U$18,0,IF((VLOOKUP($A6&amp;Z$3,$A$16:$H$51,6,FALSE))&lt;=$U$19,SUM($X$17,(VLOOKUP($A6&amp;Z$3,$A$16:$H$51,6,FALSE)*$X$37)),IF((VLOOKUP($A6&amp;Z$3,$A$16:$H$51,6,FALSE))&gt;=$U$19,SUM($X$16,(VLOOKUP($A6&amp;Z$3,$A$16:$H$51,6,FALSE)*$X$37))))))</f>
        <v>#N/A</v>
      </c>
      <c r="Y47" s="181" t="e">
        <f>(IF((VLOOKUP($A6&amp;AA$3,$A$16:$H$51,6,FALSE))&lt;=$U$18,0,IF((VLOOKUP($A6&amp;AA$3,$A$16:$H$51,6,FALSE))&lt;=$U$19,SUM($X$17,(VLOOKUP($A6&amp;AA$3,$A$16:$H$51,6,FALSE)*$X$37)),IF((VLOOKUP($A6&amp;AA$3,$A$16:$H$51,6,FALSE))&gt;=$U$19,SUM($X$16,(VLOOKUP($A6&amp;AA$3,$A$16:$H$51,6,FALSE)*$X$37))))))</f>
        <v>#N/A</v>
      </c>
    </row>
    <row r="48" spans="1:31" x14ac:dyDescent="0.35">
      <c r="A48" s="192" t="s">
        <v>35</v>
      </c>
      <c r="B48" s="145" t="s">
        <v>20</v>
      </c>
      <c r="C48" s="145">
        <v>24.4</v>
      </c>
      <c r="D48" s="145">
        <v>27</v>
      </c>
      <c r="E48" s="145">
        <v>14.4</v>
      </c>
      <c r="F48" s="145">
        <v>0.41</v>
      </c>
      <c r="G48" s="145">
        <v>110</v>
      </c>
      <c r="H48" s="193">
        <v>1</v>
      </c>
      <c r="K48" s="211">
        <v>26</v>
      </c>
      <c r="L48" s="272">
        <v>0.2</v>
      </c>
      <c r="M48" s="273">
        <v>0.21</v>
      </c>
      <c r="Q48" t="str">
        <f t="shared" si="14"/>
        <v>Gisborne</v>
      </c>
      <c r="R48" s="247" t="e">
        <f>IF(#REF!=$U$38,$V$38,IF(#REF!=$U$39,$V$39,IF(#REF!=$U$40,$V$40,$V$41)))</f>
        <v>#REF!</v>
      </c>
      <c r="S48" s="214" t="e">
        <f>(IF((VLOOKUP($A7&amp;Y$3,$A$16:$H$51,6,FALSE))&lt;=$U$16,SUM(($K7*(VLOOKUP($A7&amp;Y$3,$A$16:$H$51,9,FALSE))*$R$16*$V$34),$W$18,((VLOOKUP($A7&amp;Y$3,$A$16:$H$51,6,FALSE)*$V$37))),IF((VLOOKUP($A7&amp;Y$3,$A$16:$H$51,6,FALSE))&lt;=$U$17,SUM(($K7*(VLOOKUP($A7&amp;Y$3,$A$16:$H$51,9,FALSE))*$R$16*$V$34),$W$17,(VLOOKUP($A7&amp;Y$3,$A$16:$H$51,6,FALSE)*$V$37)),IF((VLOOKUP($A7&amp;Y$3,$A$16:$H$51,6,FALSE))&lt;=$U$18,SUM(($K7*(VLOOKUP($A7&amp;Y$3,$A$16:$H$51,9,FALSE))*$R$16*$V$34),$W$16,(VLOOKUP($A7&amp;Y$3,$A$16:$H$51,6,FALSE)*$V$37)),0))))</f>
        <v>#N/A</v>
      </c>
      <c r="T48" s="180" t="e">
        <f>(IF((VLOOKUP($A7&amp;Z$3,$A$16:$H$51,6,FALSE))&lt;=$U$16,SUM(($K7*(VLOOKUP($A7&amp;Z$3,$A$16:$H$51,9,FALSE))*$R$16*$V$34),$W$18,((VLOOKUP($A7&amp;Z$3,$A$16:$H$51,6,FALSE)*$V$37))),IF((VLOOKUP($A7&amp;Z$3,$A$16:$H$51,6,FALSE))&lt;=$U$17,SUM(($K7*(VLOOKUP($A7&amp;Z$3,$A$16:$H$51,9,FALSE))*$R$16*$V$34),$W$17,(VLOOKUP($A7&amp;Z$3,$A$16:$H$51,6,FALSE)*$V$37)),IF((VLOOKUP($A7&amp;Z$3,$A$16:$H$51,6,FALSE))&lt;=$U$18,SUM(($K7*(VLOOKUP($A7&amp;Z$3,$A$16:$H$51,9,FALSE))*$R$16*$V$34),$W$16,(VLOOKUP($A7&amp;Z$3,$A$16:$H$51,6,FALSE)*$V$37)),0))))</f>
        <v>#N/A</v>
      </c>
      <c r="U48" s="181" t="e">
        <f>(IF((VLOOKUP($A7&amp;AA$3,$A$16:$H$51,6,FALSE))&lt;=$U$16,SUM(($K7*(VLOOKUP($A7&amp;AA$3,$A$16:$H$51,9,FALSE))*$R$16*$V$34),$W$18,((VLOOKUP($A7&amp;AA$3,$A$16:$H$51,6,FALSE)*$V$37))),IF((VLOOKUP($A7&amp;AA$3,$A$16:$H$51,6,FALSE))&lt;=$U$17,SUM(($K7*(VLOOKUP($A7&amp;AA$3,$A$16:$H$51,9,FALSE))*$R$16*$V$34),$W$17,(VLOOKUP($A7&amp;AA$3,$A$16:$H$51,6,FALSE)*$V$37)),IF((VLOOKUP($A7&amp;AA$3,$A$16:$H$51,6,FALSE))&lt;=$U$18,SUM(($K7*(VLOOKUP($A7&amp;AA$3,$A$16:$H$51,9,FALSE))*$R$16*$V$34),$W$16,(VLOOKUP($A7&amp;AA$3,$A$16:$H$51,6,FALSE)*$V$37)),0))))</f>
        <v>#N/A</v>
      </c>
      <c r="V48" s="180" t="e">
        <f>IF(#REF!=$W$38,$X$38,IF(#REF!=$W$39,$X$39,IF(#REF!=$W$40,$X$40,$X$41)))</f>
        <v>#REF!</v>
      </c>
      <c r="W48" s="214" t="e">
        <f>(IF((VLOOKUP($A7&amp;Y$3,$A$16:$H$51,6,FALSE))&lt;=$U$18,0,IF((VLOOKUP($A7&amp;Y$3,$A$16:$H$51,6,FALSE))&lt;=$U$19,SUM($X$17,(VLOOKUP($A7&amp;Y$3,$A$16:$H$51,6,FALSE)*$X$37)),IF((VLOOKUP($A7&amp;Y$3,$A$16:$H$51,6,FALSE))&gt;=$U$19,SUM($X$16,(VLOOKUP($A7&amp;Y$3,$A$16:$H$51,6,FALSE)*$X$37))))))</f>
        <v>#N/A</v>
      </c>
      <c r="X48" s="180" t="e">
        <f>(IF((VLOOKUP($A7&amp;Z$3,$A$16:$H$51,6,FALSE))&lt;=$U$18,0,IF((VLOOKUP($A7&amp;Z$3,$A$16:$H$51,6,FALSE))&lt;=$U$19,SUM($X$17,(VLOOKUP($A7&amp;Z$3,$A$16:$H$51,6,FALSE)*$X$37)),IF((VLOOKUP($A7&amp;Z$3,$A$16:$H$51,6,FALSE))&gt;=$U$19,SUM($X$16,(VLOOKUP($A7&amp;Z$3,$A$16:$H$51,6,FALSE)*$X$37))))))</f>
        <v>#N/A</v>
      </c>
      <c r="Y48" s="181" t="e">
        <f>(IF((VLOOKUP($A7&amp;AA$3,$A$16:$H$51,6,FALSE))&lt;=$U$18,0,IF((VLOOKUP($A7&amp;AA$3,$A$16:$H$51,6,FALSE))&lt;=$U$19,SUM($X$17,(VLOOKUP($A7&amp;AA$3,$A$16:$H$51,6,FALSE)*$X$37)),IF((VLOOKUP($A7&amp;AA$3,$A$16:$H$51,6,FALSE))&gt;=$U$19,SUM($X$16,(VLOOKUP($A7&amp;AA$3,$A$16:$H$51,6,FALSE)*$X$37))))))</f>
        <v>#N/A</v>
      </c>
    </row>
    <row r="49" spans="1:28" x14ac:dyDescent="0.35">
      <c r="A49" s="192" t="s">
        <v>35</v>
      </c>
      <c r="B49" s="145" t="s">
        <v>57</v>
      </c>
      <c r="C49" s="145">
        <v>24.2</v>
      </c>
      <c r="D49" s="145">
        <v>27.2</v>
      </c>
      <c r="E49" s="145">
        <v>14.6</v>
      </c>
      <c r="F49" s="145">
        <v>0.06</v>
      </c>
      <c r="G49" s="145">
        <v>104</v>
      </c>
      <c r="H49" s="193"/>
      <c r="K49" s="211">
        <v>27</v>
      </c>
      <c r="L49" s="272">
        <v>0.2</v>
      </c>
      <c r="M49" s="273">
        <v>0.21</v>
      </c>
      <c r="Q49" t="str">
        <f t="shared" si="14"/>
        <v>Hawkes Bay/SNI</v>
      </c>
      <c r="R49" s="247" t="e">
        <f>IF(#REF!=$U$38,$V$38,IF(#REF!=$U$39,$V$39,IF(#REF!=$U$40,$V$40,$V$41)))</f>
        <v>#REF!</v>
      </c>
      <c r="S49" s="214" t="e">
        <f>(IF((VLOOKUP($A8&amp;Y$3,$A$16:$H$51,6,FALSE))&lt;=$U$16,SUM(($K8*(VLOOKUP($A8&amp;Y$3,$A$16:$H$51,9,FALSE))*$R$16*$V$34),$W$18,((VLOOKUP($A8&amp;Y$3,$A$16:$H$51,6,FALSE)*$V$37))),IF((VLOOKUP($A8&amp;Y$3,$A$16:$H$51,6,FALSE))&lt;=$U$17,SUM(($K8*(VLOOKUP($A8&amp;Y$3,$A$16:$H$51,9,FALSE))*$R$16*$V$34),$W$17,(VLOOKUP($A8&amp;Y$3,$A$16:$H$51,6,FALSE)*$V$37)),IF((VLOOKUP($A8&amp;Y$3,$A$16:$H$51,6,FALSE))&lt;=$U$18,SUM(($K8*(VLOOKUP($A8&amp;Y$3,$A$16:$H$51,9,FALSE))*$R$16*$V$34),$W$16,(VLOOKUP($A8&amp;Y$3,$A$16:$H$51,6,FALSE)*$V$37)),0))))</f>
        <v>#N/A</v>
      </c>
      <c r="T49" s="180" t="e">
        <f>(IF((VLOOKUP($A8&amp;Z$3,$A$16:$H$51,6,FALSE))&lt;=$U$16,SUM(($K8*(VLOOKUP($A8&amp;Z$3,$A$16:$H$51,9,FALSE))*$R$16*$V$34),$W$18,((VLOOKUP($A8&amp;Z$3,$A$16:$H$51,6,FALSE)*$V$37))),IF((VLOOKUP($A8&amp;Z$3,$A$16:$H$51,6,FALSE))&lt;=$U$17,SUM(($K8*(VLOOKUP($A8&amp;Z$3,$A$16:$H$51,9,FALSE))*$R$16*$V$34),$W$17,(VLOOKUP($A8&amp;Z$3,$A$16:$H$51,6,FALSE)*$V$37)),IF((VLOOKUP($A8&amp;Z$3,$A$16:$H$51,6,FALSE))&lt;=$U$18,SUM(($K8*(VLOOKUP($A8&amp;Z$3,$A$16:$H$51,9,FALSE))*$R$16*$V$34),$W$16,(VLOOKUP($A8&amp;Z$3,$A$16:$H$51,6,FALSE)*$V$37)),0))))</f>
        <v>#N/A</v>
      </c>
      <c r="U49" s="181" t="e">
        <f>(IF((VLOOKUP($A8&amp;AA$3,$A$16:$H$51,6,FALSE))&lt;=$U$16,SUM(($K8*(VLOOKUP($A8&amp;AA$3,$A$16:$H$51,9,FALSE))*$R$16*$V$34),$W$18,((VLOOKUP($A8&amp;AA$3,$A$16:$H$51,6,FALSE)*$V$37))),IF((VLOOKUP($A8&amp;AA$3,$A$16:$H$51,6,FALSE))&lt;=$U$17,SUM(($K8*(VLOOKUP($A8&amp;AA$3,$A$16:$H$51,9,FALSE))*$R$16*$V$34),$W$17,(VLOOKUP($A8&amp;AA$3,$A$16:$H$51,6,FALSE)*$V$37)),IF((VLOOKUP($A8&amp;AA$3,$A$16:$H$51,6,FALSE))&lt;=$U$18,SUM(($K8*(VLOOKUP($A8&amp;AA$3,$A$16:$H$51,9,FALSE))*$R$16*$V$34),$W$16,(VLOOKUP($A8&amp;AA$3,$A$16:$H$51,6,FALSE)*$V$37)),0))))</f>
        <v>#N/A</v>
      </c>
      <c r="V49" s="180" t="e">
        <f>IF(#REF!=$W$38,$X$38,IF(#REF!=$W$39,$X$39,IF(#REF!=$W$40,$X$40,$X$41)))</f>
        <v>#REF!</v>
      </c>
      <c r="W49" s="214" t="e">
        <f>(IF((VLOOKUP($A8&amp;Y$3,$A$16:$H$51,6,FALSE))&lt;=$U$18,0,IF((VLOOKUP($A8&amp;Y$3,$A$16:$H$51,6,FALSE))&lt;=$U$19,SUM($X$17,(VLOOKUP($A8&amp;Y$3,$A$16:$H$51,6,FALSE)*$X$37)),IF((VLOOKUP($A8&amp;Y$3,$A$16:$H$51,6,FALSE))&gt;=$U$19,SUM($X$16,(VLOOKUP($A8&amp;Y$3,$A$16:$H$51,6,FALSE)*$X$37))))))</f>
        <v>#N/A</v>
      </c>
      <c r="X49" s="180" t="e">
        <f>(IF((VLOOKUP($A8&amp;Z$3,$A$16:$H$51,6,FALSE))&lt;=$U$18,0,IF((VLOOKUP($A8&amp;Z$3,$A$16:$H$51,6,FALSE))&lt;=$U$19,SUM($X$17,(VLOOKUP($A8&amp;Z$3,$A$16:$H$51,6,FALSE)*$X$37)),IF((VLOOKUP($A8&amp;Z$3,$A$16:$H$51,6,FALSE))&gt;=$U$19,SUM($X$16,(VLOOKUP($A8&amp;Z$3,$A$16:$H$51,6,FALSE)*$X$37))))))</f>
        <v>#N/A</v>
      </c>
      <c r="Y49" s="181" t="e">
        <f>(IF((VLOOKUP($A8&amp;AA$3,$A$16:$H$51,6,FALSE))&lt;=$U$18,0,IF((VLOOKUP($A8&amp;AA$3,$A$16:$H$51,6,FALSE))&lt;=$U$19,SUM($X$17,(VLOOKUP($A8&amp;AA$3,$A$16:$H$51,6,FALSE)*$X$37)),IF((VLOOKUP($A8&amp;AA$3,$A$16:$H$51,6,FALSE))&gt;=$U$19,SUM($X$16,(VLOOKUP($A8&amp;AA$3,$A$16:$H$51,6,FALSE)*$X$37))))))</f>
        <v>#N/A</v>
      </c>
    </row>
    <row r="50" spans="1:28" x14ac:dyDescent="0.35">
      <c r="A50" s="192" t="s">
        <v>35</v>
      </c>
      <c r="B50" s="145" t="s">
        <v>21</v>
      </c>
      <c r="C50" s="145">
        <v>23</v>
      </c>
      <c r="D50" s="145">
        <v>22.6</v>
      </c>
      <c r="E50" s="145">
        <v>19.399999999999999</v>
      </c>
      <c r="F50" s="145">
        <v>0.54</v>
      </c>
      <c r="G50" s="145">
        <v>144</v>
      </c>
      <c r="H50" s="193">
        <f>D50/D48</f>
        <v>0.83703703703703713</v>
      </c>
      <c r="K50" s="211">
        <v>28</v>
      </c>
      <c r="L50" s="272">
        <v>0.2</v>
      </c>
      <c r="M50" s="273">
        <v>0.21</v>
      </c>
      <c r="Q50" t="str">
        <f t="shared" si="14"/>
        <v>Nelson/Marlborough</v>
      </c>
      <c r="R50" s="247" t="e">
        <f>IF(#REF!=$U$38,$V$38,IF(#REF!=$U$39,$V$39,IF(#REF!=$U$40,$V$40,$V$41)))</f>
        <v>#REF!</v>
      </c>
      <c r="S50" s="214" t="e">
        <f>(IF((VLOOKUP($A9&amp;Y$3,$A$16:$H$51,6,FALSE))&lt;=$U$16,SUM(($K9*(VLOOKUP($A9&amp;Y$3,$A$16:$H$51,9,FALSE))*$R$16*$V$34),$W$18,((VLOOKUP($A9&amp;Y$3,$A$16:$H$51,6,FALSE)*$V$37))),IF((VLOOKUP($A9&amp;Y$3,$A$16:$H$51,6,FALSE))&lt;=$U$17,SUM(($K9*(VLOOKUP($A9&amp;Y$3,$A$16:$H$51,9,FALSE))*$R$16*$V$34),$W$17,(VLOOKUP($A9&amp;Y$3,$A$16:$H$51,6,FALSE)*$V$37)),IF((VLOOKUP($A9&amp;Y$3,$A$16:$H$51,6,FALSE))&lt;=$U$18,SUM(($K9*(VLOOKUP($A9&amp;Y$3,$A$16:$H$51,9,FALSE))*$R$16*$V$34),$W$16,(VLOOKUP($A9&amp;Y$3,$A$16:$H$51,6,FALSE)*$V$37)),0))))</f>
        <v>#N/A</v>
      </c>
      <c r="T50" s="180" t="e">
        <f>(IF((VLOOKUP($A9&amp;Z$3,$A$16:$H$51,6,FALSE))&lt;=$U$16,SUM(($K9*(VLOOKUP($A9&amp;Z$3,$A$16:$H$51,9,FALSE))*$R$16*$V$34),$W$18,((VLOOKUP($A9&amp;Z$3,$A$16:$H$51,6,FALSE)*$V$37))),IF((VLOOKUP($A9&amp;Z$3,$A$16:$H$51,6,FALSE))&lt;=$U$17,SUM(($K9*(VLOOKUP($A9&amp;Z$3,$A$16:$H$51,9,FALSE))*$R$16*$V$34),$W$17,(VLOOKUP($A9&amp;Z$3,$A$16:$H$51,6,FALSE)*$V$37)),IF((VLOOKUP($A9&amp;Z$3,$A$16:$H$51,6,FALSE))&lt;=$U$18,SUM(($K9*(VLOOKUP($A9&amp;Z$3,$A$16:$H$51,9,FALSE))*$R$16*$V$34),$W$16,(VLOOKUP($A9&amp;Z$3,$A$16:$H$51,6,FALSE)*$V$37)),0))))</f>
        <v>#N/A</v>
      </c>
      <c r="U50" s="181" t="e">
        <f>(IF((VLOOKUP($A9&amp;AA$3,$A$16:$H$51,6,FALSE))&lt;=$U$16,SUM(($K9*(VLOOKUP($A9&amp;AA$3,$A$16:$H$51,9,FALSE))*$R$16*$V$34),$W$18,((VLOOKUP($A9&amp;AA$3,$A$16:$H$51,6,FALSE)*$V$37))),IF((VLOOKUP($A9&amp;AA$3,$A$16:$H$51,6,FALSE))&lt;=$U$17,SUM(($K9*(VLOOKUP($A9&amp;AA$3,$A$16:$H$51,9,FALSE))*$R$16*$V$34),$W$17,(VLOOKUP($A9&amp;AA$3,$A$16:$H$51,6,FALSE)*$V$37)),IF((VLOOKUP($A9&amp;AA$3,$A$16:$H$51,6,FALSE))&lt;=$U$18,SUM(($K9*(VLOOKUP($A9&amp;AA$3,$A$16:$H$51,9,FALSE))*$R$16*$V$34),$W$16,(VLOOKUP($A9&amp;AA$3,$A$16:$H$51,6,FALSE)*$V$37)),0))))</f>
        <v>#N/A</v>
      </c>
      <c r="V50" s="180" t="e">
        <f>IF(#REF!=$W$38,$X$38,IF(#REF!=$W$39,$X$39,IF(#REF!=$W$40,$X$40,$X$41)))</f>
        <v>#REF!</v>
      </c>
      <c r="W50" s="214" t="e">
        <f>(IF((VLOOKUP($A9&amp;Y$3,$A$16:$H$51,6,FALSE))&lt;=$U$18,0,IF((VLOOKUP($A9&amp;Y$3,$A$16:$H$51,6,FALSE))&lt;=$U$19,SUM($X$17,(VLOOKUP($A9&amp;Y$3,$A$16:$H$51,6,FALSE)*$X$37)),IF((VLOOKUP($A9&amp;Y$3,$A$16:$H$51,6,FALSE))&gt;=$U$19,SUM($X$16,(VLOOKUP($A9&amp;Y$3,$A$16:$H$51,6,FALSE)*$X$37))))))</f>
        <v>#N/A</v>
      </c>
      <c r="X50" s="180" t="e">
        <f>(IF((VLOOKUP($A9&amp;Z$3,$A$16:$H$51,6,FALSE))&lt;=$U$18,0,IF((VLOOKUP($A9&amp;Z$3,$A$16:$H$51,6,FALSE))&lt;=$U$19,SUM($X$17,(VLOOKUP($A9&amp;Z$3,$A$16:$H$51,6,FALSE)*$X$37)),IF((VLOOKUP($A9&amp;Z$3,$A$16:$H$51,6,FALSE))&gt;=$U$19,SUM($X$16,(VLOOKUP($A9&amp;Z$3,$A$16:$H$51,6,FALSE)*$X$37))))))</f>
        <v>#N/A</v>
      </c>
      <c r="Y50" s="181" t="e">
        <f>(IF((VLOOKUP($A9&amp;AA$3,$A$16:$H$51,6,FALSE))&lt;=$U$18,0,IF((VLOOKUP($A9&amp;AA$3,$A$16:$H$51,6,FALSE))&lt;=$U$19,SUM($X$17,(VLOOKUP($A9&amp;AA$3,$A$16:$H$51,6,FALSE)*$X$37)),IF((VLOOKUP($A9&amp;AA$3,$A$16:$H$51,6,FALSE))&gt;=$U$19,SUM($X$16,(VLOOKUP($A9&amp;AA$3,$A$16:$H$51,6,FALSE)*$X$37))))))</f>
        <v>#N/A</v>
      </c>
      <c r="AB50" s="147"/>
    </row>
    <row r="51" spans="1:28" x14ac:dyDescent="0.35">
      <c r="A51" s="194" t="s">
        <v>35</v>
      </c>
      <c r="B51" s="101" t="s">
        <v>22</v>
      </c>
      <c r="C51" s="101">
        <v>25.8</v>
      </c>
      <c r="D51" s="101">
        <v>30.6</v>
      </c>
      <c r="E51" s="101">
        <v>9</v>
      </c>
      <c r="F51" s="101">
        <v>0</v>
      </c>
      <c r="G51" s="101">
        <v>82</v>
      </c>
      <c r="H51" s="195">
        <f>D51/D48</f>
        <v>1.1333333333333333</v>
      </c>
      <c r="K51" s="211">
        <v>29</v>
      </c>
      <c r="L51" s="272">
        <v>0.2</v>
      </c>
      <c r="M51" s="273">
        <v>0.21</v>
      </c>
      <c r="Q51" t="str">
        <f t="shared" si="14"/>
        <v>Canterbury/WC</v>
      </c>
      <c r="R51" s="247" t="e">
        <f>IF(#REF!=$U$38,$V$38,IF(#REF!=$U$39,$V$39,IF(#REF!=$U$40,$V$40,$V$41)))</f>
        <v>#REF!</v>
      </c>
      <c r="S51" s="214" t="e">
        <f>(IF((VLOOKUP($A10&amp;Y$3,$A$16:$H$51,6,FALSE))&lt;=$U$16,SUM(($K10*(VLOOKUP($A10&amp;Y$3,$A$16:$H$51,9,FALSE))*$R$16*$V$34),$W$18,((VLOOKUP($A10&amp;Y$3,$A$16:$H$51,6,FALSE)*$V$37))),IF((VLOOKUP($A10&amp;Y$3,$A$16:$H$51,6,FALSE))&lt;=$U$17,SUM(($K10*(VLOOKUP($A10&amp;Y$3,$A$16:$H$51,9,FALSE))*$R$16*$V$34),$W$17,(VLOOKUP($A10&amp;Y$3,$A$16:$H$51,6,FALSE)*$V$37)),IF((VLOOKUP($A10&amp;Y$3,$A$16:$H$51,6,FALSE))&lt;=$U$18,SUM(($K10*(VLOOKUP($A10&amp;Y$3,$A$16:$H$51,9,FALSE))*$R$16*$V$34),$W$16,(VLOOKUP($A10&amp;Y$3,$A$16:$H$51,6,FALSE)*$V$37)),0))))</f>
        <v>#N/A</v>
      </c>
      <c r="T51" s="180" t="e">
        <f>(IF((VLOOKUP($A10&amp;Z$3,$A$16:$H$51,6,FALSE))&lt;=$U$16,SUM(($K10*(VLOOKUP($A10&amp;Z$3,$A$16:$H$51,9,FALSE))*$R$16*$V$34),$W$18,((VLOOKUP($A10&amp;Z$3,$A$16:$H$51,6,FALSE)*$V$37))),IF((VLOOKUP($A10&amp;Z$3,$A$16:$H$51,6,FALSE))&lt;=$U$17,SUM(($K10*(VLOOKUP($A10&amp;Z$3,$A$16:$H$51,9,FALSE))*$R$16*$V$34),$W$17,(VLOOKUP($A10&amp;Z$3,$A$16:$H$51,6,FALSE)*$V$37)),IF((VLOOKUP($A10&amp;Z$3,$A$16:$H$51,6,FALSE))&lt;=$U$18,SUM(($K10*(VLOOKUP($A10&amp;Z$3,$A$16:$H$51,9,FALSE))*$R$16*$V$34),$W$16,(VLOOKUP($A10&amp;Z$3,$A$16:$H$51,6,FALSE)*$V$37)),0))))</f>
        <v>#N/A</v>
      </c>
      <c r="U51" s="181" t="e">
        <f>(IF((VLOOKUP($A10&amp;AA$3,$A$16:$H$51,6,FALSE))&lt;=$U$16,SUM(($K10*(VLOOKUP($A10&amp;AA$3,$A$16:$H$51,9,FALSE))*$R$16*$V$34),$W$18,((VLOOKUP($A10&amp;AA$3,$A$16:$H$51,6,FALSE)*$V$37))),IF((VLOOKUP($A10&amp;AA$3,$A$16:$H$51,6,FALSE))&lt;=$U$17,SUM(($K10*(VLOOKUP($A10&amp;AA$3,$A$16:$H$51,9,FALSE))*$R$16*$V$34),$W$17,(VLOOKUP($A10&amp;AA$3,$A$16:$H$51,6,FALSE)*$V$37)),IF((VLOOKUP($A10&amp;AA$3,$A$16:$H$51,6,FALSE))&lt;=$U$18,SUM(($K10*(VLOOKUP($A10&amp;AA$3,$A$16:$H$51,9,FALSE))*$R$16*$V$34),$W$16,(VLOOKUP($A10&amp;AA$3,$A$16:$H$51,6,FALSE)*$V$37)),0))))</f>
        <v>#N/A</v>
      </c>
      <c r="V51" s="180" t="e">
        <f>IF(#REF!=$W$38,$X$38,IF(#REF!=$W$39,$X$39,IF(#REF!=$W$40,$X$40,$X$41)))</f>
        <v>#REF!</v>
      </c>
      <c r="W51" s="214" t="e">
        <f>(IF((VLOOKUP($A10&amp;Y$3,$A$16:$H$51,6,FALSE))&lt;=$U$18,0,IF((VLOOKUP($A10&amp;Y$3,$A$16:$H$51,6,FALSE))&lt;=$U$19,SUM($X$17,(VLOOKUP($A10&amp;Y$3,$A$16:$H$51,6,FALSE)*$X$37)),IF((VLOOKUP($A10&amp;Y$3,$A$16:$H$51,6,FALSE))&gt;=$U$19,SUM($X$16,(VLOOKUP($A10&amp;Y$3,$A$16:$H$51,6,FALSE)*$X$37))))))</f>
        <v>#N/A</v>
      </c>
      <c r="X51" s="180" t="e">
        <f>(IF((VLOOKUP($A10&amp;Z$3,$A$16:$H$51,6,FALSE))&lt;=$U$18,0,IF((VLOOKUP($A10&amp;Z$3,$A$16:$H$51,6,FALSE))&lt;=$U$19,SUM($X$17,(VLOOKUP($A10&amp;Z$3,$A$16:$H$51,6,FALSE)*$X$37)),IF((VLOOKUP($A10&amp;Z$3,$A$16:$H$51,6,FALSE))&gt;=$U$19,SUM($X$16,(VLOOKUP($A10&amp;Z$3,$A$16:$H$51,6,FALSE)*$X$37))))))</f>
        <v>#N/A</v>
      </c>
      <c r="Y51" s="181" t="e">
        <f>(IF((VLOOKUP($A10&amp;AA$3,$A$16:$H$51,6,FALSE))&lt;=$U$18,0,IF((VLOOKUP($A10&amp;AA$3,$A$16:$H$51,6,FALSE))&lt;=$U$19,SUM($X$17,(VLOOKUP($A10&amp;AA$3,$A$16:$H$51,6,FALSE)*$X$37)),IF((VLOOKUP($A10&amp;AA$3,$A$16:$H$51,6,FALSE))&gt;=$U$19,SUM($X$16,(VLOOKUP($A10&amp;AA$3,$A$16:$H$51,6,FALSE)*$X$37))))))</f>
        <v>#N/A</v>
      </c>
    </row>
    <row r="52" spans="1:28" x14ac:dyDescent="0.35">
      <c r="A52"/>
      <c r="B52"/>
      <c r="C52"/>
      <c r="K52" s="211">
        <v>30</v>
      </c>
      <c r="L52" s="272">
        <v>0.2</v>
      </c>
      <c r="M52" s="273">
        <v>0.21</v>
      </c>
      <c r="Q52" t="str">
        <f t="shared" si="14"/>
        <v>Otago</v>
      </c>
      <c r="R52" s="247" t="e">
        <f>IF(#REF!=$U$38,$V$38,IF(#REF!=$U$39,$V$39,IF(#REF!=$U$40,$V$40,$V$41)))</f>
        <v>#REF!</v>
      </c>
      <c r="S52" s="214" t="e">
        <f>(IF((VLOOKUP($A11&amp;Y$3,$A$16:$H$51,6,FALSE))&lt;=$U$16,SUM(($K11*(VLOOKUP($A11&amp;Y$3,$A$16:$H$51,9,FALSE))*$R$16*$V$34),$W$18,((VLOOKUP($A11&amp;Y$3,$A$16:$H$51,6,FALSE)*$V$37))),IF((VLOOKUP($A11&amp;Y$3,$A$16:$H$51,6,FALSE))&lt;=$U$17,SUM(($K11*(VLOOKUP($A11&amp;Y$3,$A$16:$H$51,9,FALSE))*$R$16*$V$34),$W$17,(VLOOKUP($A11&amp;Y$3,$A$16:$H$51,6,FALSE)*$V$37)),IF((VLOOKUP($A11&amp;Y$3,$A$16:$H$51,6,FALSE))&lt;=$U$18,SUM(($K11*(VLOOKUP($A11&amp;Y$3,$A$16:$H$51,9,FALSE))*$R$16*$V$34),$W$16,(VLOOKUP($A11&amp;Y$3,$A$16:$H$51,6,FALSE)*$V$37)),0))))</f>
        <v>#N/A</v>
      </c>
      <c r="T52" s="180" t="e">
        <f>(IF((VLOOKUP($A11&amp;Z$3,$A$16:$H$51,6,FALSE))&lt;=$U$16,SUM(($K11*(VLOOKUP($A11&amp;Z$3,$A$16:$H$51,9,FALSE))*$R$16*$V$34),$W$18,((VLOOKUP($A11&amp;Z$3,$A$16:$H$51,6,FALSE)*$V$37))),IF((VLOOKUP($A11&amp;Z$3,$A$16:$H$51,6,FALSE))&lt;=$U$17,SUM(($K11*(VLOOKUP($A11&amp;Z$3,$A$16:$H$51,9,FALSE))*$R$16*$V$34),$W$17,(VLOOKUP($A11&amp;Z$3,$A$16:$H$51,6,FALSE)*$V$37)),IF((VLOOKUP($A11&amp;Z$3,$A$16:$H$51,6,FALSE))&lt;=$U$18,SUM(($K11*(VLOOKUP($A11&amp;Z$3,$A$16:$H$51,9,FALSE))*$R$16*$V$34),$W$16,(VLOOKUP($A11&amp;Z$3,$A$16:$H$51,6,FALSE)*$V$37)),0))))</f>
        <v>#N/A</v>
      </c>
      <c r="U52" s="181" t="e">
        <f>(IF((VLOOKUP($A11&amp;AA$3,$A$16:$H$51,6,FALSE))&lt;=$U$16,SUM(($K11*(VLOOKUP($A11&amp;AA$3,$A$16:$H$51,9,FALSE))*$R$16*$V$34),$W$18,((VLOOKUP($A11&amp;AA$3,$A$16:$H$51,6,FALSE)*$V$37))),IF((VLOOKUP($A11&amp;AA$3,$A$16:$H$51,6,FALSE))&lt;=$U$17,SUM(($K11*(VLOOKUP($A11&amp;AA$3,$A$16:$H$51,9,FALSE))*$R$16*$V$34),$W$17,(VLOOKUP($A11&amp;AA$3,$A$16:$H$51,6,FALSE)*$V$37)),IF((VLOOKUP($A11&amp;AA$3,$A$16:$H$51,6,FALSE))&lt;=$U$18,SUM(($K11*(VLOOKUP($A11&amp;AA$3,$A$16:$H$51,9,FALSE))*$R$16*$V$34),$W$16,(VLOOKUP($A11&amp;AA$3,$A$16:$H$51,6,FALSE)*$V$37)),0))))</f>
        <v>#N/A</v>
      </c>
      <c r="V52" s="180" t="e">
        <f>IF(#REF!=$W$38,$X$38,IF(#REF!=$W$39,$X$39,IF(#REF!=$W$40,$X$40,$X$41)))</f>
        <v>#REF!</v>
      </c>
      <c r="W52" s="214" t="e">
        <f>(IF((VLOOKUP($A11&amp;Y$3,$A$16:$H$51,6,FALSE))&lt;=$U$18,0,IF((VLOOKUP($A11&amp;Y$3,$A$16:$H$51,6,FALSE))&lt;=$U$19,SUM($X$17,(VLOOKUP($A11&amp;Y$3,$A$16:$H$51,6,FALSE)*$X$37)),IF((VLOOKUP($A11&amp;Y$3,$A$16:$H$51,6,FALSE))&gt;=$U$19,SUM($X$16,(VLOOKUP($A11&amp;Y$3,$A$16:$H$51,6,FALSE)*$X$37))))))</f>
        <v>#N/A</v>
      </c>
      <c r="X52" s="180" t="e">
        <f>(IF((VLOOKUP($A11&amp;Z$3,$A$16:$H$51,6,FALSE))&lt;=$U$18,0,IF((VLOOKUP($A11&amp;Z$3,$A$16:$H$51,6,FALSE))&lt;=$U$19,SUM($X$17,(VLOOKUP($A11&amp;Z$3,$A$16:$H$51,6,FALSE)*$X$37)),IF((VLOOKUP($A11&amp;Z$3,$A$16:$H$51,6,FALSE))&gt;=$U$19,SUM($X$16,(VLOOKUP($A11&amp;Z$3,$A$16:$H$51,6,FALSE)*$X$37))))))</f>
        <v>#N/A</v>
      </c>
      <c r="Y52" s="181" t="e">
        <f>(IF((VLOOKUP($A11&amp;AA$3,$A$16:$H$51,6,FALSE))&lt;=$U$18,0,IF((VLOOKUP($A11&amp;AA$3,$A$16:$H$51,6,FALSE))&lt;=$U$19,SUM($X$17,(VLOOKUP($A11&amp;AA$3,$A$16:$H$51,6,FALSE)*$X$37)),IF((VLOOKUP($A11&amp;AA$3,$A$16:$H$51,6,FALSE))&gt;=$U$19,SUM($X$16,(VLOOKUP($A11&amp;AA$3,$A$16:$H$51,6,FALSE)*$X$37))))))</f>
        <v>#N/A</v>
      </c>
    </row>
    <row r="53" spans="1:28" x14ac:dyDescent="0.35">
      <c r="A53" s="347" t="s">
        <v>91</v>
      </c>
      <c r="B53" s="348"/>
      <c r="C53" s="348"/>
      <c r="D53" s="348"/>
      <c r="E53" s="348"/>
      <c r="F53" s="348"/>
      <c r="G53" s="348"/>
      <c r="H53" s="348"/>
      <c r="I53" s="349"/>
      <c r="K53" s="211">
        <v>31</v>
      </c>
      <c r="L53" s="272">
        <v>0.2</v>
      </c>
      <c r="M53" s="273">
        <v>0.21</v>
      </c>
      <c r="Q53" t="str">
        <f t="shared" si="14"/>
        <v>Southland</v>
      </c>
      <c r="R53" s="248" t="e">
        <f>IF(#REF!=$U$38,$V$38,IF(#REF!=$U$39,$V$39,IF(#REF!=$U$40,$V$40,$V$41)))</f>
        <v>#REF!</v>
      </c>
      <c r="S53" s="215" t="e">
        <f>(IF((VLOOKUP($A12&amp;Y$3,$A$16:$H$51,6,FALSE))&lt;=$U$16,SUM(($K12*(VLOOKUP($A12&amp;Y$3,$A$16:$H$51,9,FALSE))*$R$16*$V$34),$W$18,((VLOOKUP($A12&amp;Y$3,$A$16:$H$51,6,FALSE)*$V$37))),IF((VLOOKUP($A12&amp;Y$3,$A$16:$H$51,6,FALSE))&lt;=$U$17,SUM(($K12*(VLOOKUP($A12&amp;Y$3,$A$16:$H$51,9,FALSE))*$R$16*$V$34),$W$17,(VLOOKUP($A12&amp;Y$3,$A$16:$H$51,6,FALSE)*$V$37)),IF((VLOOKUP($A12&amp;Y$3,$A$16:$H$51,6,FALSE))&lt;=$U$18,SUM(($K12*(VLOOKUP($A12&amp;Y$3,$A$16:$H$51,9,FALSE))*$R$16*$V$34),$W$16,(VLOOKUP($A12&amp;Y$3,$A$16:$H$51,6,FALSE)*$V$37)),0))))</f>
        <v>#N/A</v>
      </c>
      <c r="T53" s="188" t="e">
        <f>(IF((VLOOKUP($A12&amp;Z$3,$A$16:$H$51,6,FALSE))&lt;=$U$16,SUM(($K12*(VLOOKUP($A12&amp;Z$3,$A$16:$H$51,9,FALSE))*$R$16*$V$34),$W$18,((VLOOKUP($A12&amp;Z$3,$A$16:$H$51,6,FALSE)*$V$37))),IF((VLOOKUP($A12&amp;Z$3,$A$16:$H$51,6,FALSE))&lt;=$U$17,SUM(($K12*(VLOOKUP($A12&amp;Z$3,$A$16:$H$51,9,FALSE))*$R$16*$V$34),$W$17,(VLOOKUP($A12&amp;Z$3,$A$16:$H$51,6,FALSE)*$V$37)),IF((VLOOKUP($A12&amp;Z$3,$A$16:$H$51,6,FALSE))&lt;=$U$18,SUM(($K12*(VLOOKUP($A12&amp;Z$3,$A$16:$H$51,9,FALSE))*$R$16*$V$34),$W$16,(VLOOKUP($A12&amp;Z$3,$A$16:$H$51,6,FALSE)*$V$37)),0))))</f>
        <v>#N/A</v>
      </c>
      <c r="U53" s="189" t="e">
        <f>(IF((VLOOKUP($A12&amp;AA$3,$A$16:$H$51,6,FALSE))&lt;=$U$16,SUM(($K12*(VLOOKUP($A12&amp;AA$3,$A$16:$H$51,9,FALSE))*$R$16*$V$34),$W$18,((VLOOKUP($A12&amp;AA$3,$A$16:$H$51,6,FALSE)*$V$37))),IF((VLOOKUP($A12&amp;AA$3,$A$16:$H$51,6,FALSE))&lt;=$U$17,SUM(($K12*(VLOOKUP($A12&amp;AA$3,$A$16:$H$51,9,FALSE))*$R$16*$V$34),$W$17,(VLOOKUP($A12&amp;AA$3,$A$16:$H$51,6,FALSE)*$V$37)),IF((VLOOKUP($A12&amp;AA$3,$A$16:$H$51,6,FALSE))&lt;=$U$18,SUM(($K12*(VLOOKUP($A12&amp;AA$3,$A$16:$H$51,9,FALSE))*$R$16*$V$34),$W$16,(VLOOKUP($A12&amp;AA$3,$A$16:$H$51,6,FALSE)*$V$37)),0))))</f>
        <v>#N/A</v>
      </c>
      <c r="V53" s="188" t="e">
        <f>IF(#REF!=$W$38,$X$38,IF(#REF!=$W$39,$X$39,IF(#REF!=$W$40,$X$40,$X$41)))</f>
        <v>#REF!</v>
      </c>
      <c r="W53" s="215" t="e">
        <f>(IF((VLOOKUP($A12&amp;Y$3,$A$16:$H$51,6,FALSE))&lt;=$U$18,0,IF((VLOOKUP($A12&amp;Y$3,$A$16:$H$51,6,FALSE))&lt;=$U$19,SUM($X$17,(VLOOKUP($A12&amp;Y$3,$A$16:$H$51,6,FALSE)*$X$37)),IF((VLOOKUP($A12&amp;Y$3,$A$16:$H$51,6,FALSE))&gt;=$U$19,SUM($X$16,(VLOOKUP($A12&amp;Y$3,$A$16:$H$51,6,FALSE)*$X$37))))))</f>
        <v>#N/A</v>
      </c>
      <c r="X53" s="188" t="e">
        <f>(IF((VLOOKUP($A12&amp;Z$3,$A$16:$H$51,6,FALSE))&lt;=$U$18,0,IF((VLOOKUP($A12&amp;Z$3,$A$16:$H$51,6,FALSE))&lt;=$U$19,SUM($X$17,(VLOOKUP($A12&amp;Z$3,$A$16:$H$51,6,FALSE)*$X$37)),IF((VLOOKUP($A12&amp;Z$3,$A$16:$H$51,6,FALSE))&gt;=$U$19,SUM($X$16,(VLOOKUP($A12&amp;Z$3,$A$16:$H$51,6,FALSE)*$X$37))))))</f>
        <v>#N/A</v>
      </c>
      <c r="Y53" s="189" t="e">
        <f>(IF((VLOOKUP($A12&amp;AA$3,$A$16:$H$51,6,FALSE))&lt;=$U$18,0,IF((VLOOKUP($A12&amp;AA$3,$A$16:$H$51,6,FALSE))&lt;=$U$19,SUM($X$17,(VLOOKUP($A12&amp;AA$3,$A$16:$H$51,6,FALSE)*$X$37)),IF((VLOOKUP($A12&amp;AA$3,$A$16:$H$51,6,FALSE))&gt;=$U$19,SUM($X$16,(VLOOKUP($A12&amp;AA$3,$A$16:$H$51,6,FALSE)*$X$37))))))</f>
        <v>#N/A</v>
      </c>
    </row>
    <row r="54" spans="1:28" x14ac:dyDescent="0.35">
      <c r="A54" s="341" t="s">
        <v>92</v>
      </c>
      <c r="B54" s="342"/>
      <c r="C54" s="342"/>
      <c r="D54" s="342"/>
      <c r="E54" s="342"/>
      <c r="F54" s="342"/>
      <c r="G54" s="342"/>
      <c r="H54" s="342"/>
      <c r="I54" s="343"/>
      <c r="J54" s="58"/>
      <c r="K54" s="144">
        <v>32</v>
      </c>
      <c r="L54" s="272">
        <v>0.2</v>
      </c>
      <c r="M54" s="273">
        <v>0.21</v>
      </c>
    </row>
    <row r="55" spans="1:28" x14ac:dyDescent="0.35">
      <c r="A55" s="36" t="s">
        <v>93</v>
      </c>
      <c r="B55" s="36" t="s">
        <v>11</v>
      </c>
      <c r="C55" s="36" t="s">
        <v>12</v>
      </c>
      <c r="D55" s="36" t="s">
        <v>13</v>
      </c>
      <c r="E55" s="36" t="s">
        <v>15</v>
      </c>
      <c r="F55" s="36" t="s">
        <v>16</v>
      </c>
      <c r="G55" s="36" t="s">
        <v>94</v>
      </c>
      <c r="H55" s="36" t="s">
        <v>95</v>
      </c>
      <c r="I55" s="190" t="s">
        <v>91</v>
      </c>
      <c r="J55" s="58"/>
      <c r="K55" s="144">
        <v>33</v>
      </c>
      <c r="L55" s="272">
        <v>0.2</v>
      </c>
      <c r="M55" s="273">
        <v>0.21</v>
      </c>
    </row>
    <row r="56" spans="1:28" x14ac:dyDescent="0.35">
      <c r="A56" s="190">
        <v>133</v>
      </c>
      <c r="B56" s="143">
        <v>123</v>
      </c>
      <c r="C56" s="143">
        <v>115</v>
      </c>
      <c r="D56" s="143">
        <v>106</v>
      </c>
      <c r="E56" s="143">
        <v>139</v>
      </c>
      <c r="F56" s="143">
        <v>126</v>
      </c>
      <c r="G56" s="143">
        <v>131</v>
      </c>
      <c r="H56" s="143">
        <v>55</v>
      </c>
      <c r="I56" s="282" t="e">
        <f ca="1">SUMPRODUCT(A56:H56,A61:H61)/SUM(A61:H61)</f>
        <v>#REF!</v>
      </c>
      <c r="J56" s="58"/>
      <c r="K56" s="144">
        <v>34</v>
      </c>
      <c r="L56" s="272">
        <v>0.2</v>
      </c>
      <c r="M56" s="273">
        <v>0.21</v>
      </c>
      <c r="S56" s="44"/>
      <c r="T56" s="44"/>
      <c r="U56" s="44"/>
      <c r="V56" s="44"/>
      <c r="W56" s="44"/>
      <c r="X56" s="44"/>
      <c r="Y56" s="44"/>
    </row>
    <row r="57" spans="1:28" x14ac:dyDescent="0.35">
      <c r="A57" s="192">
        <v>132</v>
      </c>
      <c r="B57" s="145">
        <v>122</v>
      </c>
      <c r="C57" s="145">
        <v>116</v>
      </c>
      <c r="D57" s="145">
        <v>106</v>
      </c>
      <c r="E57" s="145">
        <v>134</v>
      </c>
      <c r="F57" s="145">
        <v>121</v>
      </c>
      <c r="G57" s="145">
        <v>114</v>
      </c>
      <c r="H57" s="145">
        <v>59</v>
      </c>
      <c r="I57" s="283" t="e">
        <f ca="1">SUMPRODUCT(A57:H57,A62:H62)/SUM(A62:H62)</f>
        <v>#REF!</v>
      </c>
      <c r="J57" s="58"/>
      <c r="K57" s="144">
        <v>35</v>
      </c>
      <c r="L57" s="272">
        <v>0.2</v>
      </c>
      <c r="M57" s="273">
        <v>0.21</v>
      </c>
      <c r="S57" s="44"/>
      <c r="T57" s="44"/>
      <c r="U57" s="44"/>
      <c r="V57" s="44"/>
      <c r="W57" s="44"/>
      <c r="X57" s="44"/>
      <c r="Y57" s="44"/>
    </row>
    <row r="58" spans="1:28" x14ac:dyDescent="0.35">
      <c r="A58" s="192">
        <v>129</v>
      </c>
      <c r="B58" s="145">
        <v>119</v>
      </c>
      <c r="C58" s="145">
        <v>112</v>
      </c>
      <c r="D58" s="145">
        <v>102</v>
      </c>
      <c r="E58" s="145">
        <v>133</v>
      </c>
      <c r="F58" s="145">
        <v>123</v>
      </c>
      <c r="G58" s="145">
        <v>119</v>
      </c>
      <c r="H58" s="145">
        <v>57</v>
      </c>
      <c r="I58" s="283" t="e">
        <f ca="1">SUMPRODUCT(A58:H58,A63:H63)/SUM(A63:H63)</f>
        <v>#REF!</v>
      </c>
      <c r="J58" s="58"/>
      <c r="K58" s="144">
        <v>36</v>
      </c>
      <c r="L58" s="272">
        <v>0.2</v>
      </c>
      <c r="M58" s="273">
        <v>0.21</v>
      </c>
      <c r="S58" s="44"/>
      <c r="T58" s="44"/>
      <c r="U58" s="44"/>
      <c r="V58" s="44"/>
      <c r="W58" s="44"/>
      <c r="X58" s="44"/>
      <c r="Y58" s="44"/>
    </row>
    <row r="59" spans="1:28" x14ac:dyDescent="0.35">
      <c r="A59" s="192">
        <v>126</v>
      </c>
      <c r="B59" s="145">
        <v>117</v>
      </c>
      <c r="C59" s="145">
        <v>109</v>
      </c>
      <c r="D59" s="145">
        <v>100</v>
      </c>
      <c r="E59" s="145">
        <v>132</v>
      </c>
      <c r="F59" s="145">
        <v>121</v>
      </c>
      <c r="G59" s="145">
        <v>123</v>
      </c>
      <c r="H59" s="145">
        <v>54</v>
      </c>
      <c r="I59" s="284" t="e">
        <f ca="1">SUMPRODUCT(A59:H59,A64:H64)/SUM(A64:H64)</f>
        <v>#REF!</v>
      </c>
      <c r="J59" s="58"/>
      <c r="K59" s="144">
        <v>37</v>
      </c>
      <c r="L59" s="272">
        <v>0.2</v>
      </c>
      <c r="M59" s="273">
        <v>0.21</v>
      </c>
      <c r="S59" s="44"/>
      <c r="T59" s="44"/>
      <c r="U59" s="44"/>
      <c r="V59" s="44"/>
      <c r="W59" s="44"/>
      <c r="X59" s="44"/>
      <c r="Y59" s="44"/>
    </row>
    <row r="60" spans="1:28" x14ac:dyDescent="0.35">
      <c r="A60" s="341" t="s">
        <v>96</v>
      </c>
      <c r="B60" s="342"/>
      <c r="C60" s="342"/>
      <c r="D60" s="342"/>
      <c r="E60" s="342"/>
      <c r="F60" s="342"/>
      <c r="G60" s="342"/>
      <c r="H60" s="342"/>
      <c r="I60" s="343"/>
      <c r="J60" s="58"/>
      <c r="K60" s="144">
        <v>38</v>
      </c>
      <c r="L60" s="272">
        <v>0.2</v>
      </c>
      <c r="M60" s="273">
        <v>0.21</v>
      </c>
      <c r="S60" s="44"/>
      <c r="T60" s="44"/>
      <c r="U60" s="44"/>
      <c r="V60" s="44"/>
      <c r="W60" s="44"/>
      <c r="X60" s="44"/>
      <c r="Y60" s="44"/>
    </row>
    <row r="61" spans="1:28" x14ac:dyDescent="0.35">
      <c r="A61" s="197" t="e">
        <f ca="1">SUMIF($A$4:$J$12,#REF!,B$4:B$12)/#REF!</f>
        <v>#REF!</v>
      </c>
      <c r="B61" s="198" t="e">
        <f ca="1">SUMIF($A$4:$J$12,#REF!,C$4:C$12)/#REF!</f>
        <v>#REF!</v>
      </c>
      <c r="C61" s="198" t="e">
        <f ca="1">SUMIF($A$4:$J$12,#REF!,D$4:D$12)/#REF!</f>
        <v>#REF!</v>
      </c>
      <c r="D61" s="198" t="e">
        <f ca="1">SUMIF($A$4:$J$12,#REF!,E$4:E$12)/#REF!</f>
        <v>#REF!</v>
      </c>
      <c r="E61" s="198" t="e">
        <f ca="1">SUMIF($A$4:$J$12,#REF!,G$4:G$12)/#REF!</f>
        <v>#REF!</v>
      </c>
      <c r="F61" s="198" t="e">
        <f ca="1">SUMIF($A$4:$J$12,#REF!,H$4:H$12)/#REF!</f>
        <v>#REF!</v>
      </c>
      <c r="G61" s="198" t="e">
        <f ca="1">SUMIF($A$4:$J$12,#REF!,I$4:I$12)/#REF!</f>
        <v>#REF!</v>
      </c>
      <c r="H61" s="198" t="e">
        <f ca="1">SUMIF($A$4:$J$12,#REF!,J$4:J$12)/#REF!</f>
        <v>#REF!</v>
      </c>
      <c r="I61" s="285" t="e">
        <f ca="1">I56/$I$56</f>
        <v>#REF!</v>
      </c>
      <c r="J61" s="58"/>
      <c r="K61" s="144">
        <v>39</v>
      </c>
      <c r="L61" s="272">
        <v>0.2</v>
      </c>
      <c r="M61" s="273">
        <v>0.21</v>
      </c>
      <c r="S61" s="44"/>
      <c r="U61" s="44"/>
      <c r="V61" s="44"/>
      <c r="W61" s="44"/>
      <c r="X61" s="44"/>
      <c r="Y61" s="44"/>
    </row>
    <row r="62" spans="1:28" x14ac:dyDescent="0.35">
      <c r="A62" s="199" t="e">
        <f ca="1">SUMIF($A$4:$J$12,#REF!,B$4:B$12)/#REF!</f>
        <v>#REF!</v>
      </c>
      <c r="B62" s="200" t="e">
        <f ca="1">SUMIF($A$4:$J$12,#REF!,C$4:C$12)/#REF!</f>
        <v>#REF!</v>
      </c>
      <c r="C62" s="200" t="e">
        <f ca="1">SUMIF($A$4:$J$12,#REF!,D$4:D$12)/#REF!</f>
        <v>#REF!</v>
      </c>
      <c r="D62" s="200" t="e">
        <f ca="1">SUMIF($A$4:$J$12,#REF!,E$4:E$12)/#REF!</f>
        <v>#REF!</v>
      </c>
      <c r="E62" s="200" t="e">
        <f ca="1">SUMIF($A$4:$J$12,#REF!,G$4:G$12)/#REF!</f>
        <v>#REF!</v>
      </c>
      <c r="F62" s="200" t="e">
        <f ca="1">SUMIF($A$4:$J$12,#REF!,H$4:H$12)/#REF!</f>
        <v>#REF!</v>
      </c>
      <c r="G62" s="200" t="e">
        <f ca="1">SUMIF($A$4:$J$12,#REF!,I$4:I$12)/#REF!</f>
        <v>#REF!</v>
      </c>
      <c r="H62" s="200" t="e">
        <f ca="1">SUMIF($A$4:$J$12,#REF!,J$4:J$12)/#REF!</f>
        <v>#REF!</v>
      </c>
      <c r="I62" s="286" t="e">
        <f ca="1">I57/$I$56</f>
        <v>#REF!</v>
      </c>
      <c r="J62" s="58"/>
      <c r="K62" s="144">
        <v>40</v>
      </c>
      <c r="L62" s="272">
        <v>0.2</v>
      </c>
      <c r="M62" s="273">
        <v>0.21</v>
      </c>
      <c r="S62" s="44"/>
      <c r="U62" s="44"/>
      <c r="V62" s="44"/>
      <c r="W62" s="44"/>
      <c r="X62" s="44"/>
      <c r="Y62" s="44"/>
    </row>
    <row r="63" spans="1:28" x14ac:dyDescent="0.35">
      <c r="A63" s="199" t="e">
        <f ca="1">SUMIF($A$4:$J$12,#REF!,B$4:B$12)/#REF!</f>
        <v>#REF!</v>
      </c>
      <c r="B63" s="200" t="e">
        <f ca="1">SUMIF($A$4:$J$12,#REF!,C$4:C$12)/#REF!</f>
        <v>#REF!</v>
      </c>
      <c r="C63" s="200" t="e">
        <f ca="1">SUMIF($A$4:$J$12,#REF!,D$4:D$12)/#REF!</f>
        <v>#REF!</v>
      </c>
      <c r="D63" s="200" t="e">
        <f ca="1">SUMIF($A$4:$J$12,#REF!,E$4:E$12)/#REF!</f>
        <v>#REF!</v>
      </c>
      <c r="E63" s="200" t="e">
        <f ca="1">SUMIF($A$4:$J$12,#REF!,G$4:G$12)/#REF!</f>
        <v>#REF!</v>
      </c>
      <c r="F63" s="200" t="e">
        <f ca="1">SUMIF($A$4:$J$12,#REF!,H$4:H$12)/#REF!</f>
        <v>#REF!</v>
      </c>
      <c r="G63" s="200" t="e">
        <f ca="1">SUMIF($A$4:$J$12,#REF!,I$4:I$12)/#REF!</f>
        <v>#REF!</v>
      </c>
      <c r="H63" s="200" t="e">
        <f ca="1">SUMIF($A$4:$J$12,#REF!,J$4:J$12)/#REF!</f>
        <v>#REF!</v>
      </c>
      <c r="I63" s="286" t="e">
        <f ca="1">I58/$I$56</f>
        <v>#REF!</v>
      </c>
      <c r="K63" s="211">
        <v>41</v>
      </c>
      <c r="L63" s="272">
        <v>0.2</v>
      </c>
      <c r="M63" s="273">
        <v>0.21</v>
      </c>
      <c r="U63" s="44"/>
      <c r="V63" s="44"/>
      <c r="W63" s="44"/>
      <c r="X63" s="44"/>
      <c r="Y63" s="44"/>
    </row>
    <row r="64" spans="1:28" x14ac:dyDescent="0.35">
      <c r="A64" s="201" t="e">
        <f ca="1">SUMIF($A$4:$J$12,#REF!,B$4:B$12)/#REF!</f>
        <v>#REF!</v>
      </c>
      <c r="B64" s="202" t="e">
        <f ca="1">SUMIF($A$4:$J$12,#REF!,C$4:C$12)/#REF!</f>
        <v>#REF!</v>
      </c>
      <c r="C64" s="202" t="e">
        <f ca="1">SUMIF($A$4:$J$12,#REF!,D$4:D$12)/#REF!</f>
        <v>#REF!</v>
      </c>
      <c r="D64" s="202" t="e">
        <f ca="1">SUMIF($A$4:$J$12,#REF!,E$4:E$12)/#REF!</f>
        <v>#REF!</v>
      </c>
      <c r="E64" s="202" t="e">
        <f ca="1">SUMIF($A$4:$J$12,#REF!,G$4:G$12)/#REF!</f>
        <v>#REF!</v>
      </c>
      <c r="F64" s="202" t="e">
        <f ca="1">SUMIF($A$4:$J$12,#REF!,H$4:H$12)/#REF!</f>
        <v>#REF!</v>
      </c>
      <c r="G64" s="202" t="e">
        <f ca="1">SUMIF($A$4:$J$12,#REF!,I$4:I$12)/#REF!</f>
        <v>#REF!</v>
      </c>
      <c r="H64" s="202" t="e">
        <f ca="1">SUMIF($A$4:$J$12,#REF!,J$4:J$12)/#REF!</f>
        <v>#REF!</v>
      </c>
      <c r="I64" s="287" t="e">
        <f ca="1">I59/$I$56</f>
        <v>#REF!</v>
      </c>
      <c r="K64" s="211">
        <v>42</v>
      </c>
      <c r="L64" s="272">
        <v>0.2</v>
      </c>
      <c r="M64" s="273">
        <v>0.21</v>
      </c>
      <c r="U64" s="44"/>
      <c r="V64" s="44"/>
      <c r="W64" s="44"/>
      <c r="X64" s="44"/>
      <c r="Y64" s="44"/>
    </row>
    <row r="65" spans="1:23" x14ac:dyDescent="0.35">
      <c r="A65"/>
      <c r="B65"/>
      <c r="C65"/>
      <c r="K65" s="211">
        <v>43</v>
      </c>
      <c r="L65" s="272">
        <v>0.2</v>
      </c>
      <c r="M65" s="273">
        <v>0.21</v>
      </c>
      <c r="W65" s="44"/>
    </row>
    <row r="66" spans="1:23" x14ac:dyDescent="0.35">
      <c r="A66"/>
      <c r="B66"/>
      <c r="C66"/>
      <c r="K66" s="211">
        <v>44</v>
      </c>
      <c r="L66" s="272">
        <v>0.2</v>
      </c>
      <c r="M66" s="273">
        <v>0.21</v>
      </c>
      <c r="W66" s="44"/>
    </row>
    <row r="67" spans="1:23" x14ac:dyDescent="0.35">
      <c r="A67"/>
      <c r="B67"/>
      <c r="C67"/>
      <c r="K67" s="211">
        <v>45</v>
      </c>
      <c r="L67" s="272">
        <v>0.2</v>
      </c>
      <c r="M67" s="273">
        <v>0.21</v>
      </c>
    </row>
    <row r="68" spans="1:23" x14ac:dyDescent="0.35">
      <c r="A68"/>
      <c r="B68"/>
      <c r="C68"/>
      <c r="K68" s="211">
        <v>46</v>
      </c>
      <c r="L68" s="272">
        <v>0.2</v>
      </c>
      <c r="M68" s="273">
        <v>0.21</v>
      </c>
    </row>
    <row r="69" spans="1:23" x14ac:dyDescent="0.35">
      <c r="A69"/>
      <c r="B69"/>
      <c r="C69"/>
      <c r="K69" s="211">
        <v>47</v>
      </c>
      <c r="L69" s="272">
        <v>0.2</v>
      </c>
      <c r="M69" s="273">
        <v>0.21</v>
      </c>
    </row>
    <row r="70" spans="1:23" x14ac:dyDescent="0.35">
      <c r="A70"/>
      <c r="B70"/>
      <c r="C70"/>
      <c r="K70" s="211">
        <v>48</v>
      </c>
      <c r="L70" s="272">
        <v>0.2</v>
      </c>
      <c r="M70" s="273">
        <v>0.21</v>
      </c>
    </row>
    <row r="71" spans="1:23" x14ac:dyDescent="0.35">
      <c r="A71"/>
      <c r="B71"/>
      <c r="C71"/>
      <c r="K71" s="211">
        <v>49</v>
      </c>
      <c r="L71" s="272">
        <v>0.2</v>
      </c>
      <c r="M71" s="273">
        <v>0.21</v>
      </c>
    </row>
    <row r="72" spans="1:23" x14ac:dyDescent="0.35">
      <c r="A72"/>
      <c r="B72"/>
      <c r="C72"/>
      <c r="K72" s="211">
        <v>50</v>
      </c>
      <c r="L72" s="272">
        <v>0.2</v>
      </c>
      <c r="M72" s="273">
        <v>0.21</v>
      </c>
    </row>
    <row r="73" spans="1:23" x14ac:dyDescent="0.35">
      <c r="A73"/>
      <c r="B73"/>
      <c r="C73"/>
      <c r="K73" s="211">
        <v>51</v>
      </c>
      <c r="L73" s="272">
        <v>0.25</v>
      </c>
      <c r="M73" s="273">
        <v>0.28000000000000003</v>
      </c>
    </row>
    <row r="74" spans="1:23" x14ac:dyDescent="0.35">
      <c r="A74"/>
      <c r="B74"/>
      <c r="C74"/>
      <c r="K74" s="211">
        <v>52</v>
      </c>
      <c r="L74" s="272">
        <v>0.25</v>
      </c>
      <c r="M74" s="273">
        <v>0.28000000000000003</v>
      </c>
    </row>
    <row r="75" spans="1:23" x14ac:dyDescent="0.35">
      <c r="A75"/>
      <c r="B75"/>
      <c r="C75"/>
      <c r="K75" s="211">
        <v>53</v>
      </c>
      <c r="L75" s="272">
        <v>0.25</v>
      </c>
      <c r="M75" s="273">
        <v>0.28000000000000003</v>
      </c>
    </row>
    <row r="76" spans="1:23" x14ac:dyDescent="0.35">
      <c r="A76"/>
      <c r="B76"/>
      <c r="C76"/>
      <c r="K76" s="211">
        <v>54</v>
      </c>
      <c r="L76" s="272">
        <v>0.25</v>
      </c>
      <c r="M76" s="273">
        <v>0.28000000000000003</v>
      </c>
    </row>
    <row r="77" spans="1:23" x14ac:dyDescent="0.35">
      <c r="A77"/>
      <c r="B77"/>
      <c r="C77"/>
      <c r="K77" s="211">
        <v>55</v>
      </c>
      <c r="L77" s="272">
        <v>0.25</v>
      </c>
      <c r="M77" s="273">
        <v>0.28000000000000003</v>
      </c>
    </row>
    <row r="78" spans="1:23" x14ac:dyDescent="0.35">
      <c r="A78"/>
      <c r="B78"/>
      <c r="C78"/>
      <c r="K78" s="211">
        <v>56</v>
      </c>
      <c r="L78" s="272">
        <v>0.25</v>
      </c>
      <c r="M78" s="273">
        <v>0.28000000000000003</v>
      </c>
    </row>
    <row r="79" spans="1:23" x14ac:dyDescent="0.35">
      <c r="A79"/>
      <c r="B79"/>
      <c r="C79"/>
      <c r="K79" s="211">
        <v>57</v>
      </c>
      <c r="L79" s="272">
        <v>0.25</v>
      </c>
      <c r="M79" s="273">
        <v>0.28000000000000003</v>
      </c>
    </row>
    <row r="80" spans="1:23" x14ac:dyDescent="0.35">
      <c r="A80"/>
      <c r="B80"/>
      <c r="C80"/>
      <c r="K80" s="211">
        <v>58</v>
      </c>
      <c r="L80" s="272">
        <v>0.25</v>
      </c>
      <c r="M80" s="273">
        <v>0.28000000000000003</v>
      </c>
    </row>
    <row r="81" spans="1:13" x14ac:dyDescent="0.35">
      <c r="A81"/>
      <c r="B81"/>
      <c r="C81"/>
      <c r="K81" s="211">
        <v>59</v>
      </c>
      <c r="L81" s="272">
        <v>0.25</v>
      </c>
      <c r="M81" s="273">
        <v>0.28000000000000003</v>
      </c>
    </row>
    <row r="82" spans="1:13" x14ac:dyDescent="0.35">
      <c r="A82"/>
      <c r="B82"/>
      <c r="C82"/>
      <c r="K82" s="211">
        <v>60</v>
      </c>
      <c r="L82" s="272">
        <v>0.25</v>
      </c>
      <c r="M82" s="273">
        <v>0.28000000000000003</v>
      </c>
    </row>
    <row r="83" spans="1:13" x14ac:dyDescent="0.35">
      <c r="A83"/>
      <c r="B83"/>
      <c r="C83"/>
      <c r="K83" s="211">
        <v>61</v>
      </c>
      <c r="L83" s="272">
        <v>0.25</v>
      </c>
      <c r="M83" s="273">
        <v>0.28000000000000003</v>
      </c>
    </row>
    <row r="84" spans="1:13" x14ac:dyDescent="0.35">
      <c r="A84"/>
      <c r="B84"/>
      <c r="C84"/>
      <c r="K84" s="211">
        <v>62</v>
      </c>
      <c r="L84" s="272">
        <v>0.25</v>
      </c>
      <c r="M84" s="273">
        <v>0.28000000000000003</v>
      </c>
    </row>
    <row r="85" spans="1:13" x14ac:dyDescent="0.35">
      <c r="A85"/>
      <c r="B85"/>
      <c r="C85"/>
      <c r="K85" s="211">
        <v>63</v>
      </c>
      <c r="L85" s="272">
        <v>0.25</v>
      </c>
      <c r="M85" s="273">
        <v>0.28000000000000003</v>
      </c>
    </row>
    <row r="86" spans="1:13" x14ac:dyDescent="0.35">
      <c r="A86"/>
      <c r="B86"/>
      <c r="C86"/>
      <c r="K86" s="211">
        <v>64</v>
      </c>
      <c r="L86" s="272">
        <v>0.25</v>
      </c>
      <c r="M86" s="273">
        <v>0.28000000000000003</v>
      </c>
    </row>
    <row r="87" spans="1:13" x14ac:dyDescent="0.35">
      <c r="A87"/>
      <c r="B87"/>
      <c r="C87"/>
      <c r="K87" s="211">
        <v>65</v>
      </c>
      <c r="L87" s="272">
        <v>0.25</v>
      </c>
      <c r="M87" s="273">
        <v>0.28000000000000003</v>
      </c>
    </row>
    <row r="88" spans="1:13" x14ac:dyDescent="0.35">
      <c r="A88"/>
      <c r="B88"/>
      <c r="C88"/>
      <c r="K88" s="211">
        <v>66</v>
      </c>
      <c r="L88" s="272">
        <v>0.25</v>
      </c>
      <c r="M88" s="273">
        <v>0.28000000000000003</v>
      </c>
    </row>
    <row r="89" spans="1:13" x14ac:dyDescent="0.35">
      <c r="A89"/>
      <c r="B89"/>
      <c r="C89"/>
      <c r="K89" s="211">
        <v>67</v>
      </c>
      <c r="L89" s="272">
        <v>0.25</v>
      </c>
      <c r="M89" s="273">
        <v>0.28000000000000003</v>
      </c>
    </row>
    <row r="90" spans="1:13" x14ac:dyDescent="0.35">
      <c r="A90"/>
      <c r="B90"/>
      <c r="C90"/>
      <c r="K90" s="211">
        <v>68</v>
      </c>
      <c r="L90" s="272">
        <v>0.25</v>
      </c>
      <c r="M90" s="273">
        <v>0.28000000000000003</v>
      </c>
    </row>
    <row r="91" spans="1:13" x14ac:dyDescent="0.35">
      <c r="A91"/>
      <c r="B91"/>
      <c r="C91"/>
      <c r="K91" s="211">
        <v>69</v>
      </c>
      <c r="L91" s="272">
        <v>0.25</v>
      </c>
      <c r="M91" s="273">
        <v>0.28000000000000003</v>
      </c>
    </row>
    <row r="92" spans="1:13" x14ac:dyDescent="0.35">
      <c r="A92"/>
      <c r="B92"/>
      <c r="C92"/>
      <c r="K92" s="211">
        <v>70</v>
      </c>
      <c r="L92" s="272">
        <v>0.25</v>
      </c>
      <c r="M92" s="273">
        <v>0.28000000000000003</v>
      </c>
    </row>
    <row r="93" spans="1:13" x14ac:dyDescent="0.35">
      <c r="A93"/>
      <c r="B93"/>
      <c r="C93"/>
      <c r="K93" s="211">
        <v>71</v>
      </c>
      <c r="L93" s="272">
        <v>0.25</v>
      </c>
      <c r="M93" s="273">
        <v>0.28000000000000003</v>
      </c>
    </row>
    <row r="94" spans="1:13" x14ac:dyDescent="0.35">
      <c r="A94"/>
      <c r="B94"/>
      <c r="C94"/>
      <c r="K94" s="211">
        <v>72</v>
      </c>
      <c r="L94" s="272">
        <v>0.25</v>
      </c>
      <c r="M94" s="273">
        <v>0.28000000000000003</v>
      </c>
    </row>
    <row r="95" spans="1:13" x14ac:dyDescent="0.35">
      <c r="A95"/>
      <c r="B95"/>
      <c r="C95"/>
      <c r="K95" s="211">
        <v>73</v>
      </c>
      <c r="L95" s="272">
        <v>0.25</v>
      </c>
      <c r="M95" s="273">
        <v>0.28000000000000003</v>
      </c>
    </row>
    <row r="96" spans="1:13" x14ac:dyDescent="0.35">
      <c r="A96"/>
      <c r="B96"/>
      <c r="C96"/>
      <c r="K96" s="211">
        <v>74</v>
      </c>
      <c r="L96" s="272">
        <v>0.25</v>
      </c>
      <c r="M96" s="273">
        <v>0.28000000000000003</v>
      </c>
    </row>
    <row r="97" spans="1:13" x14ac:dyDescent="0.35">
      <c r="A97"/>
      <c r="B97"/>
      <c r="C97"/>
      <c r="K97" s="211">
        <v>75</v>
      </c>
      <c r="L97" s="272">
        <v>0.25</v>
      </c>
      <c r="M97" s="273">
        <v>0.28000000000000003</v>
      </c>
    </row>
    <row r="98" spans="1:13" x14ac:dyDescent="0.35">
      <c r="A98"/>
      <c r="B98"/>
      <c r="C98"/>
      <c r="K98" s="211">
        <v>76</v>
      </c>
      <c r="L98" s="272">
        <v>0.25</v>
      </c>
      <c r="M98" s="273">
        <v>0.28000000000000003</v>
      </c>
    </row>
    <row r="99" spans="1:13" x14ac:dyDescent="0.35">
      <c r="A99"/>
      <c r="B99"/>
      <c r="C99"/>
      <c r="K99" s="211">
        <v>77</v>
      </c>
      <c r="L99" s="272">
        <v>0.25</v>
      </c>
      <c r="M99" s="273">
        <v>0.28000000000000003</v>
      </c>
    </row>
    <row r="100" spans="1:13" x14ac:dyDescent="0.35">
      <c r="A100"/>
      <c r="B100"/>
      <c r="C100"/>
      <c r="K100" s="211">
        <v>78</v>
      </c>
      <c r="L100" s="272">
        <v>0.25</v>
      </c>
      <c r="M100" s="273">
        <v>0.28000000000000003</v>
      </c>
    </row>
    <row r="101" spans="1:13" x14ac:dyDescent="0.35">
      <c r="A101"/>
      <c r="B101"/>
      <c r="C101"/>
      <c r="K101" s="211">
        <v>79</v>
      </c>
      <c r="L101" s="272">
        <v>0.25</v>
      </c>
      <c r="M101" s="273">
        <v>0.28000000000000003</v>
      </c>
    </row>
    <row r="102" spans="1:13" x14ac:dyDescent="0.35">
      <c r="A102"/>
      <c r="B102"/>
      <c r="C102"/>
      <c r="K102" s="211">
        <v>80</v>
      </c>
      <c r="L102" s="272">
        <v>0.25</v>
      </c>
      <c r="M102" s="273">
        <v>0.28000000000000003</v>
      </c>
    </row>
    <row r="103" spans="1:13" x14ac:dyDescent="0.35">
      <c r="A103"/>
      <c r="B103"/>
      <c r="C103"/>
      <c r="K103" s="211">
        <v>81</v>
      </c>
      <c r="L103" s="272">
        <v>0.25</v>
      </c>
      <c r="M103" s="273">
        <v>0.28000000000000003</v>
      </c>
    </row>
    <row r="104" spans="1:13" x14ac:dyDescent="0.35">
      <c r="A104"/>
      <c r="B104"/>
      <c r="C104"/>
      <c r="K104" s="211">
        <v>82</v>
      </c>
      <c r="L104" s="272">
        <v>0.25</v>
      </c>
      <c r="M104" s="273">
        <v>0.28000000000000003</v>
      </c>
    </row>
    <row r="105" spans="1:13" x14ac:dyDescent="0.35">
      <c r="A105"/>
      <c r="B105"/>
      <c r="C105"/>
      <c r="K105" s="211">
        <v>83</v>
      </c>
      <c r="L105" s="272">
        <v>0.25</v>
      </c>
      <c r="M105" s="273">
        <v>0.28000000000000003</v>
      </c>
    </row>
    <row r="106" spans="1:13" x14ac:dyDescent="0.35">
      <c r="A106"/>
      <c r="B106"/>
      <c r="C106"/>
      <c r="K106" s="211">
        <v>84</v>
      </c>
      <c r="L106" s="272">
        <v>0.25</v>
      </c>
      <c r="M106" s="273">
        <v>0.28000000000000003</v>
      </c>
    </row>
    <row r="107" spans="1:13" x14ac:dyDescent="0.35">
      <c r="A107"/>
      <c r="B107"/>
      <c r="C107"/>
      <c r="K107" s="211">
        <v>85</v>
      </c>
      <c r="L107" s="272">
        <v>0.25</v>
      </c>
      <c r="M107" s="273">
        <v>0.28000000000000003</v>
      </c>
    </row>
    <row r="108" spans="1:13" x14ac:dyDescent="0.35">
      <c r="A108"/>
      <c r="B108"/>
      <c r="C108"/>
      <c r="K108" s="211">
        <v>86</v>
      </c>
      <c r="L108" s="272">
        <v>0.25</v>
      </c>
      <c r="M108" s="273">
        <v>0.28000000000000003</v>
      </c>
    </row>
    <row r="109" spans="1:13" x14ac:dyDescent="0.35">
      <c r="A109"/>
      <c r="B109"/>
      <c r="C109"/>
      <c r="K109" s="211">
        <v>87</v>
      </c>
      <c r="L109" s="272">
        <v>0.25</v>
      </c>
      <c r="M109" s="273">
        <v>0.28000000000000003</v>
      </c>
    </row>
    <row r="110" spans="1:13" x14ac:dyDescent="0.35">
      <c r="A110"/>
      <c r="B110"/>
      <c r="C110"/>
      <c r="K110" s="211">
        <v>88</v>
      </c>
      <c r="L110" s="272">
        <v>0.25</v>
      </c>
      <c r="M110" s="273">
        <v>0.28000000000000003</v>
      </c>
    </row>
    <row r="111" spans="1:13" x14ac:dyDescent="0.35">
      <c r="A111"/>
      <c r="B111"/>
      <c r="C111"/>
      <c r="K111" s="211">
        <v>89</v>
      </c>
      <c r="L111" s="272">
        <v>0.25</v>
      </c>
      <c r="M111" s="273">
        <v>0.28000000000000003</v>
      </c>
    </row>
    <row r="112" spans="1:13" x14ac:dyDescent="0.35">
      <c r="A112"/>
      <c r="B112"/>
      <c r="C112"/>
      <c r="K112" s="211">
        <v>90</v>
      </c>
      <c r="L112" s="272">
        <v>0.25</v>
      </c>
      <c r="M112" s="273">
        <v>0.28000000000000003</v>
      </c>
    </row>
    <row r="113" spans="1:13" x14ac:dyDescent="0.35">
      <c r="A113"/>
      <c r="B113"/>
      <c r="C113"/>
      <c r="K113" s="211">
        <v>91</v>
      </c>
      <c r="L113" s="272">
        <v>0.25</v>
      </c>
      <c r="M113" s="273">
        <v>0.28000000000000003</v>
      </c>
    </row>
    <row r="114" spans="1:13" x14ac:dyDescent="0.35">
      <c r="A114"/>
      <c r="B114"/>
      <c r="C114"/>
      <c r="K114" s="211">
        <v>92</v>
      </c>
      <c r="L114" s="272">
        <v>0.25</v>
      </c>
      <c r="M114" s="273">
        <v>0.28000000000000003</v>
      </c>
    </row>
    <row r="115" spans="1:13" x14ac:dyDescent="0.35">
      <c r="A115"/>
      <c r="B115"/>
      <c r="C115"/>
      <c r="K115" s="211">
        <v>93</v>
      </c>
      <c r="L115" s="272">
        <v>0.25</v>
      </c>
      <c r="M115" s="273">
        <v>0.28000000000000003</v>
      </c>
    </row>
    <row r="116" spans="1:13" x14ac:dyDescent="0.35">
      <c r="A116"/>
      <c r="B116"/>
      <c r="C116"/>
      <c r="K116" s="211">
        <v>94</v>
      </c>
      <c r="L116" s="272">
        <v>0.25</v>
      </c>
      <c r="M116" s="273">
        <v>0.28000000000000003</v>
      </c>
    </row>
    <row r="117" spans="1:13" x14ac:dyDescent="0.35">
      <c r="A117"/>
      <c r="B117"/>
      <c r="C117"/>
      <c r="K117" s="211">
        <v>95</v>
      </c>
      <c r="L117" s="272">
        <v>0.25</v>
      </c>
      <c r="M117" s="273">
        <v>0.28000000000000003</v>
      </c>
    </row>
    <row r="118" spans="1:13" x14ac:dyDescent="0.35">
      <c r="A118"/>
      <c r="B118"/>
      <c r="C118"/>
      <c r="K118" s="211">
        <v>96</v>
      </c>
      <c r="L118" s="272">
        <v>0.25</v>
      </c>
      <c r="M118" s="273">
        <v>0.28000000000000003</v>
      </c>
    </row>
    <row r="119" spans="1:13" x14ac:dyDescent="0.35">
      <c r="A119"/>
      <c r="B119"/>
      <c r="C119"/>
      <c r="K119" s="211">
        <v>97</v>
      </c>
      <c r="L119" s="272">
        <v>0.25</v>
      </c>
      <c r="M119" s="273">
        <v>0.28000000000000003</v>
      </c>
    </row>
    <row r="120" spans="1:13" x14ac:dyDescent="0.35">
      <c r="A120"/>
      <c r="B120"/>
      <c r="C120"/>
      <c r="K120" s="211">
        <v>98</v>
      </c>
      <c r="L120" s="272">
        <v>0.25</v>
      </c>
      <c r="M120" s="273">
        <v>0.28000000000000003</v>
      </c>
    </row>
    <row r="121" spans="1:13" x14ac:dyDescent="0.35">
      <c r="A121"/>
      <c r="B121"/>
      <c r="C121"/>
      <c r="K121" s="211">
        <v>99</v>
      </c>
      <c r="L121" s="272">
        <v>0.25</v>
      </c>
      <c r="M121" s="273">
        <v>0.28000000000000003</v>
      </c>
    </row>
    <row r="122" spans="1:13" x14ac:dyDescent="0.35">
      <c r="A122"/>
      <c r="B122"/>
      <c r="C122"/>
      <c r="K122" s="211">
        <v>100</v>
      </c>
      <c r="L122" s="272">
        <v>0.25</v>
      </c>
      <c r="M122" s="273">
        <v>0.28000000000000003</v>
      </c>
    </row>
    <row r="123" spans="1:13" x14ac:dyDescent="0.35">
      <c r="A123"/>
      <c r="B123"/>
      <c r="C123"/>
      <c r="K123" s="211">
        <v>101</v>
      </c>
      <c r="L123" s="272">
        <v>0.35</v>
      </c>
      <c r="M123" s="273">
        <v>0.39</v>
      </c>
    </row>
    <row r="124" spans="1:13" x14ac:dyDescent="0.35">
      <c r="A124"/>
      <c r="B124"/>
      <c r="C124"/>
      <c r="K124" s="211">
        <v>102</v>
      </c>
      <c r="L124" s="272">
        <v>0.35</v>
      </c>
      <c r="M124" s="273">
        <v>0.39</v>
      </c>
    </row>
    <row r="125" spans="1:13" x14ac:dyDescent="0.35">
      <c r="A125"/>
      <c r="B125"/>
      <c r="C125"/>
      <c r="K125" s="211">
        <v>103</v>
      </c>
      <c r="L125" s="272">
        <v>0.35</v>
      </c>
      <c r="M125" s="273">
        <v>0.39</v>
      </c>
    </row>
    <row r="126" spans="1:13" x14ac:dyDescent="0.35">
      <c r="A126"/>
      <c r="B126"/>
      <c r="C126"/>
      <c r="K126" s="211">
        <v>104</v>
      </c>
      <c r="L126" s="272">
        <v>0.35</v>
      </c>
      <c r="M126" s="273">
        <v>0.39</v>
      </c>
    </row>
    <row r="127" spans="1:13" x14ac:dyDescent="0.35">
      <c r="A127"/>
      <c r="B127"/>
      <c r="C127"/>
      <c r="K127" s="211">
        <v>105</v>
      </c>
      <c r="L127" s="272">
        <v>0.35</v>
      </c>
      <c r="M127" s="273">
        <v>0.39</v>
      </c>
    </row>
    <row r="128" spans="1:13" x14ac:dyDescent="0.35">
      <c r="A128"/>
      <c r="B128"/>
      <c r="C128"/>
      <c r="K128" s="211">
        <v>106</v>
      </c>
      <c r="L128" s="272">
        <v>0.35</v>
      </c>
      <c r="M128" s="273">
        <v>0.39</v>
      </c>
    </row>
    <row r="129" spans="1:13" x14ac:dyDescent="0.35">
      <c r="A129"/>
      <c r="B129"/>
      <c r="C129"/>
      <c r="K129" s="211">
        <v>107</v>
      </c>
      <c r="L129" s="272">
        <v>0.35</v>
      </c>
      <c r="M129" s="273">
        <v>0.39</v>
      </c>
    </row>
    <row r="130" spans="1:13" x14ac:dyDescent="0.35">
      <c r="A130"/>
      <c r="B130"/>
      <c r="C130"/>
      <c r="K130" s="211">
        <v>108</v>
      </c>
      <c r="L130" s="272">
        <v>0.35</v>
      </c>
      <c r="M130" s="273">
        <v>0.39</v>
      </c>
    </row>
    <row r="131" spans="1:13" x14ac:dyDescent="0.35">
      <c r="A131"/>
      <c r="B131"/>
      <c r="C131"/>
      <c r="K131" s="211">
        <v>109</v>
      </c>
      <c r="L131" s="272">
        <v>0.35</v>
      </c>
      <c r="M131" s="273">
        <v>0.39</v>
      </c>
    </row>
    <row r="132" spans="1:13" x14ac:dyDescent="0.35">
      <c r="A132"/>
      <c r="B132"/>
      <c r="C132"/>
      <c r="K132" s="211">
        <v>110</v>
      </c>
      <c r="L132" s="272">
        <v>0.35</v>
      </c>
      <c r="M132" s="273">
        <v>0.39</v>
      </c>
    </row>
    <row r="133" spans="1:13" x14ac:dyDescent="0.35">
      <c r="A133"/>
      <c r="B133"/>
      <c r="C133"/>
      <c r="K133" s="211">
        <v>111</v>
      </c>
      <c r="L133" s="272">
        <v>0.35</v>
      </c>
      <c r="M133" s="273">
        <v>0.39</v>
      </c>
    </row>
    <row r="134" spans="1:13" x14ac:dyDescent="0.35">
      <c r="A134"/>
      <c r="B134"/>
      <c r="C134"/>
      <c r="K134" s="211">
        <v>112</v>
      </c>
      <c r="L134" s="272">
        <v>0.35</v>
      </c>
      <c r="M134" s="273">
        <v>0.39</v>
      </c>
    </row>
    <row r="135" spans="1:13" x14ac:dyDescent="0.35">
      <c r="A135"/>
      <c r="B135"/>
      <c r="C135"/>
      <c r="K135" s="211">
        <v>113</v>
      </c>
      <c r="L135" s="272">
        <v>0.35</v>
      </c>
      <c r="M135" s="273">
        <v>0.39</v>
      </c>
    </row>
    <row r="136" spans="1:13" x14ac:dyDescent="0.35">
      <c r="A136"/>
      <c r="B136"/>
      <c r="C136"/>
      <c r="K136" s="211">
        <v>114</v>
      </c>
      <c r="L136" s="272">
        <v>0.35</v>
      </c>
      <c r="M136" s="273">
        <v>0.39</v>
      </c>
    </row>
    <row r="137" spans="1:13" x14ac:dyDescent="0.35">
      <c r="A137"/>
      <c r="B137"/>
      <c r="C137"/>
      <c r="K137" s="211">
        <v>115</v>
      </c>
      <c r="L137" s="272">
        <v>0.35</v>
      </c>
      <c r="M137" s="273">
        <v>0.39</v>
      </c>
    </row>
    <row r="138" spans="1:13" x14ac:dyDescent="0.35">
      <c r="A138"/>
      <c r="B138"/>
      <c r="C138"/>
      <c r="K138" s="211">
        <v>116</v>
      </c>
      <c r="L138" s="272">
        <v>0.35</v>
      </c>
      <c r="M138" s="273">
        <v>0.39</v>
      </c>
    </row>
    <row r="139" spans="1:13" x14ac:dyDescent="0.35">
      <c r="A139"/>
      <c r="B139"/>
      <c r="C139"/>
      <c r="K139" s="211">
        <v>117</v>
      </c>
      <c r="L139" s="272">
        <v>0.35</v>
      </c>
      <c r="M139" s="273">
        <v>0.39</v>
      </c>
    </row>
    <row r="140" spans="1:13" x14ac:dyDescent="0.35">
      <c r="A140"/>
      <c r="B140"/>
      <c r="C140"/>
      <c r="K140" s="211">
        <v>118</v>
      </c>
      <c r="L140" s="272">
        <v>0.35</v>
      </c>
      <c r="M140" s="273">
        <v>0.39</v>
      </c>
    </row>
    <row r="141" spans="1:13" x14ac:dyDescent="0.35">
      <c r="A141"/>
      <c r="B141"/>
      <c r="C141"/>
      <c r="K141" s="211">
        <v>119</v>
      </c>
      <c r="L141" s="272">
        <v>0.35</v>
      </c>
      <c r="M141" s="273">
        <v>0.39</v>
      </c>
    </row>
    <row r="142" spans="1:13" x14ac:dyDescent="0.35">
      <c r="A142"/>
      <c r="B142"/>
      <c r="C142"/>
      <c r="K142" s="211">
        <v>120</v>
      </c>
      <c r="L142" s="272">
        <v>0.35</v>
      </c>
      <c r="M142" s="273">
        <v>0.39</v>
      </c>
    </row>
    <row r="143" spans="1:13" x14ac:dyDescent="0.35">
      <c r="A143"/>
      <c r="B143"/>
      <c r="C143"/>
      <c r="K143" s="211">
        <v>121</v>
      </c>
      <c r="L143" s="272">
        <v>0.35</v>
      </c>
      <c r="M143" s="273">
        <v>0.39</v>
      </c>
    </row>
    <row r="144" spans="1:13" x14ac:dyDescent="0.35">
      <c r="A144"/>
      <c r="B144"/>
      <c r="C144"/>
      <c r="K144" s="211">
        <v>122</v>
      </c>
      <c r="L144" s="272">
        <v>0.35</v>
      </c>
      <c r="M144" s="273">
        <v>0.39</v>
      </c>
    </row>
    <row r="145" spans="1:13" x14ac:dyDescent="0.35">
      <c r="A145"/>
      <c r="B145"/>
      <c r="C145"/>
      <c r="K145" s="211">
        <v>123</v>
      </c>
      <c r="L145" s="272">
        <v>0.35</v>
      </c>
      <c r="M145" s="273">
        <v>0.39</v>
      </c>
    </row>
    <row r="146" spans="1:13" x14ac:dyDescent="0.35">
      <c r="A146"/>
      <c r="B146"/>
      <c r="C146"/>
      <c r="K146" s="211">
        <v>124</v>
      </c>
      <c r="L146" s="272">
        <v>0.35</v>
      </c>
      <c r="M146" s="273">
        <v>0.39</v>
      </c>
    </row>
    <row r="147" spans="1:13" x14ac:dyDescent="0.35">
      <c r="A147"/>
      <c r="B147"/>
      <c r="C147"/>
      <c r="K147" s="211">
        <v>125</v>
      </c>
      <c r="L147" s="272">
        <v>0.35</v>
      </c>
      <c r="M147" s="273">
        <v>0.39</v>
      </c>
    </row>
    <row r="148" spans="1:13" x14ac:dyDescent="0.35">
      <c r="A148"/>
      <c r="B148"/>
      <c r="C148"/>
      <c r="K148" s="211">
        <v>126</v>
      </c>
      <c r="L148" s="272">
        <v>0.35</v>
      </c>
      <c r="M148" s="273">
        <v>0.39</v>
      </c>
    </row>
    <row r="149" spans="1:13" x14ac:dyDescent="0.35">
      <c r="A149"/>
      <c r="B149"/>
      <c r="C149"/>
      <c r="K149" s="211">
        <v>127</v>
      </c>
      <c r="L149" s="272">
        <v>0.35</v>
      </c>
      <c r="M149" s="273">
        <v>0.39</v>
      </c>
    </row>
    <row r="150" spans="1:13" x14ac:dyDescent="0.35">
      <c r="A150"/>
      <c r="B150"/>
      <c r="C150"/>
      <c r="K150" s="211">
        <v>128</v>
      </c>
      <c r="L150" s="272">
        <v>0.35</v>
      </c>
      <c r="M150" s="273">
        <v>0.39</v>
      </c>
    </row>
    <row r="151" spans="1:13" x14ac:dyDescent="0.35">
      <c r="A151"/>
      <c r="B151"/>
      <c r="C151"/>
      <c r="K151" s="211">
        <v>129</v>
      </c>
      <c r="L151" s="272">
        <v>0.35</v>
      </c>
      <c r="M151" s="273">
        <v>0.39</v>
      </c>
    </row>
    <row r="152" spans="1:13" x14ac:dyDescent="0.35">
      <c r="A152"/>
      <c r="B152"/>
      <c r="C152"/>
      <c r="K152" s="211">
        <v>130</v>
      </c>
      <c r="L152" s="272">
        <v>0.35</v>
      </c>
      <c r="M152" s="273">
        <v>0.39</v>
      </c>
    </row>
    <row r="153" spans="1:13" x14ac:dyDescent="0.35">
      <c r="A153"/>
      <c r="B153"/>
      <c r="C153"/>
      <c r="K153" s="211">
        <v>131</v>
      </c>
      <c r="L153" s="272">
        <v>0.35</v>
      </c>
      <c r="M153" s="273">
        <v>0.39</v>
      </c>
    </row>
    <row r="154" spans="1:13" x14ac:dyDescent="0.35">
      <c r="A154"/>
      <c r="B154"/>
      <c r="C154"/>
      <c r="K154" s="211">
        <v>132</v>
      </c>
      <c r="L154" s="272">
        <v>0.35</v>
      </c>
      <c r="M154" s="273">
        <v>0.39</v>
      </c>
    </row>
    <row r="155" spans="1:13" x14ac:dyDescent="0.35">
      <c r="A155"/>
      <c r="B155"/>
      <c r="C155"/>
      <c r="K155" s="211">
        <v>133</v>
      </c>
      <c r="L155" s="272">
        <v>0.35</v>
      </c>
      <c r="M155" s="273">
        <v>0.39</v>
      </c>
    </row>
    <row r="156" spans="1:13" x14ac:dyDescent="0.35">
      <c r="A156"/>
      <c r="B156"/>
      <c r="C156"/>
      <c r="K156" s="211">
        <v>134</v>
      </c>
      <c r="L156" s="272">
        <v>0.35</v>
      </c>
      <c r="M156" s="273">
        <v>0.39</v>
      </c>
    </row>
    <row r="157" spans="1:13" x14ac:dyDescent="0.35">
      <c r="A157"/>
      <c r="B157"/>
      <c r="C157"/>
      <c r="K157" s="211">
        <v>135</v>
      </c>
      <c r="L157" s="272">
        <v>0.35</v>
      </c>
      <c r="M157" s="273">
        <v>0.39</v>
      </c>
    </row>
    <row r="158" spans="1:13" x14ac:dyDescent="0.35">
      <c r="A158"/>
      <c r="B158"/>
      <c r="C158"/>
      <c r="K158" s="211">
        <v>136</v>
      </c>
      <c r="L158" s="272">
        <v>0.35</v>
      </c>
      <c r="M158" s="273">
        <v>0.39</v>
      </c>
    </row>
    <row r="159" spans="1:13" x14ac:dyDescent="0.35">
      <c r="A159"/>
      <c r="B159"/>
      <c r="C159"/>
      <c r="K159" s="211">
        <v>137</v>
      </c>
      <c r="L159" s="272">
        <v>0.35</v>
      </c>
      <c r="M159" s="273">
        <v>0.39</v>
      </c>
    </row>
    <row r="160" spans="1:13" x14ac:dyDescent="0.35">
      <c r="A160"/>
      <c r="B160"/>
      <c r="C160"/>
      <c r="K160" s="211">
        <v>138</v>
      </c>
      <c r="L160" s="272">
        <v>0.35</v>
      </c>
      <c r="M160" s="273">
        <v>0.39</v>
      </c>
    </row>
    <row r="161" spans="1:13" x14ac:dyDescent="0.35">
      <c r="A161"/>
      <c r="B161"/>
      <c r="C161"/>
      <c r="K161" s="211">
        <v>139</v>
      </c>
      <c r="L161" s="272">
        <v>0.35</v>
      </c>
      <c r="M161" s="273">
        <v>0.39</v>
      </c>
    </row>
    <row r="162" spans="1:13" x14ac:dyDescent="0.35">
      <c r="A162"/>
      <c r="B162"/>
      <c r="C162"/>
      <c r="K162" s="211">
        <v>140</v>
      </c>
      <c r="L162" s="272">
        <v>0.35</v>
      </c>
      <c r="M162" s="273">
        <v>0.39</v>
      </c>
    </row>
    <row r="163" spans="1:13" x14ac:dyDescent="0.35">
      <c r="A163"/>
      <c r="B163"/>
      <c r="C163"/>
      <c r="K163" s="211">
        <v>141</v>
      </c>
      <c r="L163" s="272">
        <v>0.35</v>
      </c>
      <c r="M163" s="273">
        <v>0.39</v>
      </c>
    </row>
    <row r="164" spans="1:13" x14ac:dyDescent="0.35">
      <c r="A164"/>
      <c r="B164"/>
      <c r="C164"/>
      <c r="K164" s="211">
        <v>142</v>
      </c>
      <c r="L164" s="272">
        <v>0.35</v>
      </c>
      <c r="M164" s="273">
        <v>0.39</v>
      </c>
    </row>
    <row r="165" spans="1:13" x14ac:dyDescent="0.35">
      <c r="A165"/>
      <c r="B165"/>
      <c r="C165"/>
      <c r="K165" s="211">
        <v>143</v>
      </c>
      <c r="L165" s="272">
        <v>0.35</v>
      </c>
      <c r="M165" s="273">
        <v>0.39</v>
      </c>
    </row>
    <row r="166" spans="1:13" x14ac:dyDescent="0.35">
      <c r="A166"/>
      <c r="B166"/>
      <c r="C166"/>
      <c r="K166" s="211">
        <v>144</v>
      </c>
      <c r="L166" s="272">
        <v>0.35</v>
      </c>
      <c r="M166" s="273">
        <v>0.39</v>
      </c>
    </row>
    <row r="167" spans="1:13" x14ac:dyDescent="0.35">
      <c r="A167"/>
      <c r="B167"/>
      <c r="C167"/>
      <c r="K167" s="211">
        <v>145</v>
      </c>
      <c r="L167" s="272">
        <v>0.35</v>
      </c>
      <c r="M167" s="273">
        <v>0.39</v>
      </c>
    </row>
    <row r="168" spans="1:13" x14ac:dyDescent="0.35">
      <c r="A168"/>
      <c r="B168"/>
      <c r="C168"/>
      <c r="K168" s="211">
        <v>146</v>
      </c>
      <c r="L168" s="272">
        <v>0.35</v>
      </c>
      <c r="M168" s="273">
        <v>0.39</v>
      </c>
    </row>
    <row r="169" spans="1:13" x14ac:dyDescent="0.35">
      <c r="A169"/>
      <c r="B169"/>
      <c r="C169"/>
      <c r="K169" s="211">
        <v>147</v>
      </c>
      <c r="L169" s="272">
        <v>0.35</v>
      </c>
      <c r="M169" s="273">
        <v>0.39</v>
      </c>
    </row>
    <row r="170" spans="1:13" x14ac:dyDescent="0.35">
      <c r="A170"/>
      <c r="B170"/>
      <c r="C170"/>
      <c r="K170" s="211">
        <v>148</v>
      </c>
      <c r="L170" s="272">
        <v>0.35</v>
      </c>
      <c r="M170" s="273">
        <v>0.39</v>
      </c>
    </row>
    <row r="171" spans="1:13" x14ac:dyDescent="0.35">
      <c r="A171"/>
      <c r="B171"/>
      <c r="C171"/>
      <c r="K171" s="211">
        <v>149</v>
      </c>
      <c r="L171" s="272">
        <v>0.35</v>
      </c>
      <c r="M171" s="273">
        <v>0.39</v>
      </c>
    </row>
    <row r="172" spans="1:13" x14ac:dyDescent="0.35">
      <c r="A172"/>
      <c r="B172"/>
      <c r="C172"/>
      <c r="K172" s="211">
        <v>150</v>
      </c>
      <c r="L172" s="272">
        <v>0.35</v>
      </c>
      <c r="M172" s="273">
        <v>0.39</v>
      </c>
    </row>
    <row r="173" spans="1:13" x14ac:dyDescent="0.35">
      <c r="A173"/>
      <c r="B173"/>
      <c r="C173"/>
      <c r="K173" s="211">
        <v>151</v>
      </c>
      <c r="L173" s="272">
        <v>0.45</v>
      </c>
      <c r="M173" s="273">
        <v>0.5</v>
      </c>
    </row>
    <row r="174" spans="1:13" x14ac:dyDescent="0.35">
      <c r="A174"/>
      <c r="B174"/>
      <c r="C174"/>
      <c r="K174" s="211">
        <v>152</v>
      </c>
      <c r="L174" s="272">
        <v>0.45</v>
      </c>
      <c r="M174" s="273">
        <v>0.5</v>
      </c>
    </row>
    <row r="175" spans="1:13" x14ac:dyDescent="0.35">
      <c r="A175"/>
      <c r="B175"/>
      <c r="C175"/>
      <c r="K175" s="211">
        <v>153</v>
      </c>
      <c r="L175" s="272">
        <v>0.45</v>
      </c>
      <c r="M175" s="273">
        <v>0.5</v>
      </c>
    </row>
    <row r="176" spans="1:13" x14ac:dyDescent="0.35">
      <c r="A176"/>
      <c r="B176"/>
      <c r="C176"/>
      <c r="K176" s="211">
        <v>154</v>
      </c>
      <c r="L176" s="272">
        <v>0.45</v>
      </c>
      <c r="M176" s="273">
        <v>0.5</v>
      </c>
    </row>
    <row r="177" spans="1:13" x14ac:dyDescent="0.35">
      <c r="A177"/>
      <c r="B177"/>
      <c r="C177"/>
      <c r="K177" s="211">
        <v>155</v>
      </c>
      <c r="L177" s="272">
        <v>0.45</v>
      </c>
      <c r="M177" s="273">
        <v>0.5</v>
      </c>
    </row>
    <row r="178" spans="1:13" x14ac:dyDescent="0.35">
      <c r="A178"/>
      <c r="B178"/>
      <c r="C178"/>
      <c r="K178" s="211">
        <v>156</v>
      </c>
      <c r="L178" s="272">
        <v>0.45</v>
      </c>
      <c r="M178" s="273">
        <v>0.5</v>
      </c>
    </row>
    <row r="179" spans="1:13" x14ac:dyDescent="0.35">
      <c r="A179"/>
      <c r="B179"/>
      <c r="C179"/>
      <c r="K179" s="211">
        <v>157</v>
      </c>
      <c r="L179" s="272">
        <v>0.45</v>
      </c>
      <c r="M179" s="273">
        <v>0.5</v>
      </c>
    </row>
    <row r="180" spans="1:13" x14ac:dyDescent="0.35">
      <c r="A180"/>
      <c r="B180"/>
      <c r="C180"/>
      <c r="K180" s="211">
        <v>158</v>
      </c>
      <c r="L180" s="272">
        <v>0.45</v>
      </c>
      <c r="M180" s="273">
        <v>0.5</v>
      </c>
    </row>
    <row r="181" spans="1:13" x14ac:dyDescent="0.35">
      <c r="A181"/>
      <c r="B181"/>
      <c r="C181"/>
      <c r="K181" s="211">
        <v>159</v>
      </c>
      <c r="L181" s="272">
        <v>0.45</v>
      </c>
      <c r="M181" s="273">
        <v>0.5</v>
      </c>
    </row>
    <row r="182" spans="1:13" x14ac:dyDescent="0.35">
      <c r="A182"/>
      <c r="B182"/>
      <c r="C182"/>
      <c r="K182" s="211">
        <v>160</v>
      </c>
      <c r="L182" s="272">
        <v>0.45</v>
      </c>
      <c r="M182" s="273">
        <v>0.5</v>
      </c>
    </row>
    <row r="183" spans="1:13" x14ac:dyDescent="0.35">
      <c r="A183"/>
      <c r="B183"/>
      <c r="C183"/>
      <c r="K183" s="211">
        <v>161</v>
      </c>
      <c r="L183" s="272">
        <v>0.45</v>
      </c>
      <c r="M183" s="273">
        <v>0.5</v>
      </c>
    </row>
    <row r="184" spans="1:13" x14ac:dyDescent="0.35">
      <c r="A184"/>
      <c r="B184"/>
      <c r="C184"/>
      <c r="K184" s="211">
        <v>162</v>
      </c>
      <c r="L184" s="272">
        <v>0.45</v>
      </c>
      <c r="M184" s="273">
        <v>0.5</v>
      </c>
    </row>
    <row r="185" spans="1:13" x14ac:dyDescent="0.35">
      <c r="A185"/>
      <c r="B185"/>
      <c r="C185"/>
      <c r="K185" s="211">
        <v>163</v>
      </c>
      <c r="L185" s="272">
        <v>0.45</v>
      </c>
      <c r="M185" s="273">
        <v>0.5</v>
      </c>
    </row>
    <row r="186" spans="1:13" x14ac:dyDescent="0.35">
      <c r="A186"/>
      <c r="B186"/>
      <c r="C186"/>
      <c r="K186" s="211">
        <v>164</v>
      </c>
      <c r="L186" s="272">
        <v>0.45</v>
      </c>
      <c r="M186" s="273">
        <v>0.5</v>
      </c>
    </row>
    <row r="187" spans="1:13" x14ac:dyDescent="0.35">
      <c r="A187"/>
      <c r="B187"/>
      <c r="C187"/>
      <c r="K187" s="211">
        <v>165</v>
      </c>
      <c r="L187" s="272">
        <v>0.45</v>
      </c>
      <c r="M187" s="273">
        <v>0.5</v>
      </c>
    </row>
    <row r="188" spans="1:13" x14ac:dyDescent="0.35">
      <c r="A188"/>
      <c r="B188"/>
      <c r="C188"/>
      <c r="K188" s="211">
        <v>166</v>
      </c>
      <c r="L188" s="272">
        <v>0.45</v>
      </c>
      <c r="M188" s="273">
        <v>0.5</v>
      </c>
    </row>
    <row r="189" spans="1:13" x14ac:dyDescent="0.35">
      <c r="A189"/>
      <c r="B189"/>
      <c r="C189"/>
      <c r="K189" s="211">
        <v>167</v>
      </c>
      <c r="L189" s="272">
        <v>0.45</v>
      </c>
      <c r="M189" s="273">
        <v>0.5</v>
      </c>
    </row>
    <row r="190" spans="1:13" x14ac:dyDescent="0.35">
      <c r="A190"/>
      <c r="B190"/>
      <c r="C190"/>
      <c r="K190" s="211">
        <v>168</v>
      </c>
      <c r="L190" s="272">
        <v>0.45</v>
      </c>
      <c r="M190" s="273">
        <v>0.5</v>
      </c>
    </row>
    <row r="191" spans="1:13" x14ac:dyDescent="0.35">
      <c r="A191"/>
      <c r="B191"/>
      <c r="C191"/>
      <c r="K191" s="211">
        <v>169</v>
      </c>
      <c r="L191" s="272">
        <v>0.45</v>
      </c>
      <c r="M191" s="273">
        <v>0.5</v>
      </c>
    </row>
    <row r="192" spans="1:13" x14ac:dyDescent="0.35">
      <c r="A192"/>
      <c r="B192"/>
      <c r="C192"/>
      <c r="K192" s="211">
        <v>170</v>
      </c>
      <c r="L192" s="272">
        <v>0.45</v>
      </c>
      <c r="M192" s="273">
        <v>0.5</v>
      </c>
    </row>
    <row r="193" spans="1:13" x14ac:dyDescent="0.35">
      <c r="A193"/>
      <c r="B193"/>
      <c r="C193"/>
      <c r="K193" s="211">
        <v>171</v>
      </c>
      <c r="L193" s="272">
        <v>0.45</v>
      </c>
      <c r="M193" s="273">
        <v>0.5</v>
      </c>
    </row>
    <row r="194" spans="1:13" x14ac:dyDescent="0.35">
      <c r="A194"/>
      <c r="B194"/>
      <c r="C194"/>
      <c r="K194" s="211">
        <v>172</v>
      </c>
      <c r="L194" s="272">
        <v>0.45</v>
      </c>
      <c r="M194" s="273">
        <v>0.5</v>
      </c>
    </row>
    <row r="195" spans="1:13" x14ac:dyDescent="0.35">
      <c r="A195"/>
      <c r="B195"/>
      <c r="C195"/>
      <c r="K195" s="211">
        <v>173</v>
      </c>
      <c r="L195" s="272">
        <v>0.45</v>
      </c>
      <c r="M195" s="273">
        <v>0.5</v>
      </c>
    </row>
    <row r="196" spans="1:13" x14ac:dyDescent="0.35">
      <c r="A196"/>
      <c r="B196"/>
      <c r="C196"/>
      <c r="K196" s="211">
        <v>174</v>
      </c>
      <c r="L196" s="272">
        <v>0.45</v>
      </c>
      <c r="M196" s="273">
        <v>0.5</v>
      </c>
    </row>
    <row r="197" spans="1:13" x14ac:dyDescent="0.35">
      <c r="A197"/>
      <c r="B197"/>
      <c r="C197"/>
      <c r="K197" s="211">
        <v>175</v>
      </c>
      <c r="L197" s="272">
        <v>0.45</v>
      </c>
      <c r="M197" s="273">
        <v>0.5</v>
      </c>
    </row>
    <row r="198" spans="1:13" x14ac:dyDescent="0.35">
      <c r="A198"/>
      <c r="B198"/>
      <c r="C198"/>
      <c r="K198" s="211">
        <v>176</v>
      </c>
      <c r="L198" s="272">
        <v>0.45</v>
      </c>
      <c r="M198" s="273">
        <v>0.5</v>
      </c>
    </row>
    <row r="199" spans="1:13" x14ac:dyDescent="0.35">
      <c r="A199"/>
      <c r="B199"/>
      <c r="C199"/>
      <c r="K199" s="211">
        <v>177</v>
      </c>
      <c r="L199" s="272">
        <v>0.45</v>
      </c>
      <c r="M199" s="273">
        <v>0.5</v>
      </c>
    </row>
    <row r="200" spans="1:13" x14ac:dyDescent="0.35">
      <c r="A200"/>
      <c r="B200"/>
      <c r="C200"/>
      <c r="K200" s="211">
        <v>178</v>
      </c>
      <c r="L200" s="272">
        <v>0.45</v>
      </c>
      <c r="M200" s="273">
        <v>0.5</v>
      </c>
    </row>
    <row r="201" spans="1:13" x14ac:dyDescent="0.35">
      <c r="A201"/>
      <c r="B201"/>
      <c r="C201"/>
      <c r="K201" s="211">
        <v>179</v>
      </c>
      <c r="L201" s="272">
        <v>0.45</v>
      </c>
      <c r="M201" s="273">
        <v>0.5</v>
      </c>
    </row>
    <row r="202" spans="1:13" x14ac:dyDescent="0.35">
      <c r="A202"/>
      <c r="B202"/>
      <c r="C202"/>
      <c r="K202" s="211">
        <v>180</v>
      </c>
      <c r="L202" s="272">
        <v>0.45</v>
      </c>
      <c r="M202" s="273">
        <v>0.5</v>
      </c>
    </row>
    <row r="203" spans="1:13" x14ac:dyDescent="0.35">
      <c r="A203"/>
      <c r="B203"/>
      <c r="C203"/>
      <c r="K203" s="211">
        <v>181</v>
      </c>
      <c r="L203" s="272">
        <v>0.45</v>
      </c>
      <c r="M203" s="273">
        <v>0.5</v>
      </c>
    </row>
    <row r="204" spans="1:13" x14ac:dyDescent="0.35">
      <c r="A204"/>
      <c r="B204"/>
      <c r="C204"/>
      <c r="K204" s="211">
        <v>182</v>
      </c>
      <c r="L204" s="272">
        <v>0.45</v>
      </c>
      <c r="M204" s="273">
        <v>0.5</v>
      </c>
    </row>
    <row r="205" spans="1:13" x14ac:dyDescent="0.35">
      <c r="A205"/>
      <c r="B205"/>
      <c r="C205"/>
      <c r="K205" s="211">
        <v>183</v>
      </c>
      <c r="L205" s="272">
        <v>0.45</v>
      </c>
      <c r="M205" s="273">
        <v>0.5</v>
      </c>
    </row>
    <row r="206" spans="1:13" x14ac:dyDescent="0.35">
      <c r="A206"/>
      <c r="B206"/>
      <c r="C206"/>
      <c r="K206" s="211">
        <v>184</v>
      </c>
      <c r="L206" s="272">
        <v>0.45</v>
      </c>
      <c r="M206" s="273">
        <v>0.5</v>
      </c>
    </row>
    <row r="207" spans="1:13" x14ac:dyDescent="0.35">
      <c r="A207"/>
      <c r="B207"/>
      <c r="C207"/>
      <c r="K207" s="211">
        <v>185</v>
      </c>
      <c r="L207" s="272">
        <v>0.45</v>
      </c>
      <c r="M207" s="273">
        <v>0.5</v>
      </c>
    </row>
    <row r="208" spans="1:13" x14ac:dyDescent="0.35">
      <c r="A208"/>
      <c r="B208"/>
      <c r="C208"/>
      <c r="K208" s="211">
        <v>186</v>
      </c>
      <c r="L208" s="272">
        <v>0.45</v>
      </c>
      <c r="M208" s="273">
        <v>0.5</v>
      </c>
    </row>
    <row r="209" spans="1:13" x14ac:dyDescent="0.35">
      <c r="A209"/>
      <c r="B209"/>
      <c r="C209"/>
      <c r="K209" s="211">
        <v>187</v>
      </c>
      <c r="L209" s="272">
        <v>0.45</v>
      </c>
      <c r="M209" s="273">
        <v>0.5</v>
      </c>
    </row>
    <row r="210" spans="1:13" x14ac:dyDescent="0.35">
      <c r="A210"/>
      <c r="B210"/>
      <c r="C210"/>
      <c r="K210" s="211">
        <v>188</v>
      </c>
      <c r="L210" s="272">
        <v>0.45</v>
      </c>
      <c r="M210" s="273">
        <v>0.5</v>
      </c>
    </row>
    <row r="211" spans="1:13" x14ac:dyDescent="0.35">
      <c r="A211"/>
      <c r="B211"/>
      <c r="C211"/>
      <c r="K211" s="211">
        <v>189</v>
      </c>
      <c r="L211" s="272">
        <v>0.45</v>
      </c>
      <c r="M211" s="273">
        <v>0.5</v>
      </c>
    </row>
    <row r="212" spans="1:13" x14ac:dyDescent="0.35">
      <c r="A212"/>
      <c r="B212"/>
      <c r="C212"/>
      <c r="K212" s="211">
        <v>190</v>
      </c>
      <c r="L212" s="272">
        <v>0.45</v>
      </c>
      <c r="M212" s="273">
        <v>0.5</v>
      </c>
    </row>
    <row r="213" spans="1:13" x14ac:dyDescent="0.35">
      <c r="A213"/>
      <c r="B213"/>
      <c r="C213"/>
      <c r="K213" s="211">
        <v>191</v>
      </c>
      <c r="L213" s="272">
        <v>0.45</v>
      </c>
      <c r="M213" s="273">
        <v>0.5</v>
      </c>
    </row>
    <row r="214" spans="1:13" x14ac:dyDescent="0.35">
      <c r="A214"/>
      <c r="B214"/>
      <c r="C214"/>
      <c r="K214" s="211">
        <v>192</v>
      </c>
      <c r="L214" s="272">
        <v>0.45</v>
      </c>
      <c r="M214" s="273">
        <v>0.5</v>
      </c>
    </row>
    <row r="215" spans="1:13" x14ac:dyDescent="0.35">
      <c r="A215"/>
      <c r="B215"/>
      <c r="C215"/>
      <c r="K215" s="211">
        <v>193</v>
      </c>
      <c r="L215" s="272">
        <v>0.45</v>
      </c>
      <c r="M215" s="273">
        <v>0.5</v>
      </c>
    </row>
    <row r="216" spans="1:13" x14ac:dyDescent="0.35">
      <c r="A216"/>
      <c r="B216"/>
      <c r="C216"/>
      <c r="K216" s="211">
        <v>194</v>
      </c>
      <c r="L216" s="272">
        <v>0.45</v>
      </c>
      <c r="M216" s="273">
        <v>0.5</v>
      </c>
    </row>
    <row r="217" spans="1:13" x14ac:dyDescent="0.35">
      <c r="A217"/>
      <c r="B217"/>
      <c r="C217"/>
      <c r="K217" s="211">
        <v>195</v>
      </c>
      <c r="L217" s="272">
        <v>0.45</v>
      </c>
      <c r="M217" s="273">
        <v>0.5</v>
      </c>
    </row>
    <row r="218" spans="1:13" x14ac:dyDescent="0.35">
      <c r="A218"/>
      <c r="B218"/>
      <c r="C218"/>
      <c r="K218" s="211">
        <v>196</v>
      </c>
      <c r="L218" s="272">
        <v>0.45</v>
      </c>
      <c r="M218" s="273">
        <v>0.5</v>
      </c>
    </row>
    <row r="219" spans="1:13" x14ac:dyDescent="0.35">
      <c r="A219"/>
      <c r="B219"/>
      <c r="C219"/>
      <c r="K219" s="211">
        <v>197</v>
      </c>
      <c r="L219" s="272">
        <v>0.45</v>
      </c>
      <c r="M219" s="273">
        <v>0.5</v>
      </c>
    </row>
    <row r="220" spans="1:13" x14ac:dyDescent="0.35">
      <c r="A220"/>
      <c r="B220"/>
      <c r="C220"/>
      <c r="K220" s="211">
        <v>198</v>
      </c>
      <c r="L220" s="272">
        <v>0.45</v>
      </c>
      <c r="M220" s="273">
        <v>0.5</v>
      </c>
    </row>
    <row r="221" spans="1:13" x14ac:dyDescent="0.35">
      <c r="A221"/>
      <c r="B221"/>
      <c r="C221"/>
      <c r="K221" s="211">
        <v>199</v>
      </c>
      <c r="L221" s="272">
        <v>0.45</v>
      </c>
      <c r="M221" s="273">
        <v>0.5</v>
      </c>
    </row>
    <row r="222" spans="1:13" x14ac:dyDescent="0.35">
      <c r="A222"/>
      <c r="B222"/>
      <c r="C222"/>
      <c r="K222" s="211">
        <v>200</v>
      </c>
      <c r="L222" s="272">
        <v>0.45</v>
      </c>
      <c r="M222" s="273">
        <v>0.5</v>
      </c>
    </row>
    <row r="223" spans="1:13" x14ac:dyDescent="0.35">
      <c r="A223"/>
      <c r="B223"/>
      <c r="C223"/>
      <c r="K223" s="211">
        <v>201</v>
      </c>
      <c r="L223" s="272">
        <v>0.5</v>
      </c>
      <c r="M223" s="273">
        <v>0.55000000000000004</v>
      </c>
    </row>
    <row r="224" spans="1:13" x14ac:dyDescent="0.35">
      <c r="A224"/>
      <c r="B224"/>
      <c r="C224"/>
      <c r="K224" s="211">
        <v>202</v>
      </c>
      <c r="L224" s="272">
        <v>0.5</v>
      </c>
      <c r="M224" s="273">
        <v>0.55000000000000004</v>
      </c>
    </row>
    <row r="225" spans="1:13" x14ac:dyDescent="0.35">
      <c r="A225"/>
      <c r="B225"/>
      <c r="C225"/>
      <c r="K225" s="211">
        <v>203</v>
      </c>
      <c r="L225" s="272">
        <v>0.5</v>
      </c>
      <c r="M225" s="273">
        <v>0.55000000000000004</v>
      </c>
    </row>
    <row r="226" spans="1:13" x14ac:dyDescent="0.35">
      <c r="A226"/>
      <c r="B226"/>
      <c r="C226"/>
      <c r="K226" s="211">
        <v>204</v>
      </c>
      <c r="L226" s="272">
        <v>0.5</v>
      </c>
      <c r="M226" s="273">
        <v>0.55000000000000004</v>
      </c>
    </row>
    <row r="227" spans="1:13" x14ac:dyDescent="0.35">
      <c r="A227"/>
      <c r="B227"/>
      <c r="C227"/>
      <c r="K227" s="211">
        <v>205</v>
      </c>
      <c r="L227" s="272">
        <v>0.5</v>
      </c>
      <c r="M227" s="273">
        <v>0.55000000000000004</v>
      </c>
    </row>
    <row r="228" spans="1:13" x14ac:dyDescent="0.35">
      <c r="A228"/>
      <c r="B228"/>
      <c r="C228"/>
      <c r="K228" s="211">
        <v>206</v>
      </c>
      <c r="L228" s="272">
        <v>0.5</v>
      </c>
      <c r="M228" s="273">
        <v>0.55000000000000004</v>
      </c>
    </row>
    <row r="229" spans="1:13" x14ac:dyDescent="0.35">
      <c r="A229"/>
      <c r="B229"/>
      <c r="C229"/>
      <c r="K229" s="211">
        <v>207</v>
      </c>
      <c r="L229" s="272">
        <v>0.5</v>
      </c>
      <c r="M229" s="273">
        <v>0.55000000000000004</v>
      </c>
    </row>
    <row r="230" spans="1:13" x14ac:dyDescent="0.35">
      <c r="A230"/>
      <c r="B230"/>
      <c r="C230"/>
      <c r="K230" s="211">
        <v>208</v>
      </c>
      <c r="L230" s="272">
        <v>0.5</v>
      </c>
      <c r="M230" s="273">
        <v>0.55000000000000004</v>
      </c>
    </row>
    <row r="231" spans="1:13" x14ac:dyDescent="0.35">
      <c r="A231"/>
      <c r="B231"/>
      <c r="C231"/>
      <c r="K231" s="211">
        <v>209</v>
      </c>
      <c r="L231" s="272">
        <v>0.5</v>
      </c>
      <c r="M231" s="273">
        <v>0.55000000000000004</v>
      </c>
    </row>
    <row r="232" spans="1:13" x14ac:dyDescent="0.35">
      <c r="A232"/>
      <c r="B232"/>
      <c r="C232"/>
      <c r="K232" s="211">
        <v>210</v>
      </c>
      <c r="L232" s="272">
        <v>0.5</v>
      </c>
      <c r="M232" s="273">
        <v>0.55000000000000004</v>
      </c>
    </row>
    <row r="233" spans="1:13" x14ac:dyDescent="0.35">
      <c r="A233"/>
      <c r="B233"/>
      <c r="C233"/>
      <c r="K233" s="211">
        <v>211</v>
      </c>
      <c r="L233" s="272">
        <v>0.5</v>
      </c>
      <c r="M233" s="273">
        <v>0.55000000000000004</v>
      </c>
    </row>
    <row r="234" spans="1:13" x14ac:dyDescent="0.35">
      <c r="A234"/>
      <c r="B234"/>
      <c r="C234"/>
      <c r="K234" s="211">
        <v>212</v>
      </c>
      <c r="L234" s="272">
        <v>0.5</v>
      </c>
      <c r="M234" s="273">
        <v>0.55000000000000004</v>
      </c>
    </row>
    <row r="235" spans="1:13" x14ac:dyDescent="0.35">
      <c r="A235"/>
      <c r="B235"/>
      <c r="C235"/>
      <c r="K235" s="211">
        <v>213</v>
      </c>
      <c r="L235" s="272">
        <v>0.5</v>
      </c>
      <c r="M235" s="273">
        <v>0.55000000000000004</v>
      </c>
    </row>
    <row r="236" spans="1:13" x14ac:dyDescent="0.35">
      <c r="A236"/>
      <c r="B236"/>
      <c r="C236"/>
      <c r="K236" s="211">
        <v>214</v>
      </c>
      <c r="L236" s="272">
        <v>0.5</v>
      </c>
      <c r="M236" s="273">
        <v>0.55000000000000004</v>
      </c>
    </row>
    <row r="237" spans="1:13" x14ac:dyDescent="0.35">
      <c r="A237"/>
      <c r="B237"/>
      <c r="C237"/>
      <c r="K237" s="212">
        <v>215</v>
      </c>
      <c r="L237" s="274">
        <v>0.5</v>
      </c>
      <c r="M237" s="275">
        <v>0.55000000000000004</v>
      </c>
    </row>
  </sheetData>
  <mergeCells count="22">
    <mergeCell ref="J14:M14"/>
    <mergeCell ref="O14:X14"/>
    <mergeCell ref="AH2:AJ2"/>
    <mergeCell ref="M1:AJ1"/>
    <mergeCell ref="A53:I53"/>
    <mergeCell ref="M2:R2"/>
    <mergeCell ref="A2:K2"/>
    <mergeCell ref="A14:H14"/>
    <mergeCell ref="AE2:AG2"/>
    <mergeCell ref="S2:U2"/>
    <mergeCell ref="V2:X2"/>
    <mergeCell ref="Y2:AA2"/>
    <mergeCell ref="AB2:AD2"/>
    <mergeCell ref="K40:M40"/>
    <mergeCell ref="Q28:S28"/>
    <mergeCell ref="U26:AA26"/>
    <mergeCell ref="A54:I54"/>
    <mergeCell ref="A60:I60"/>
    <mergeCell ref="W27:X27"/>
    <mergeCell ref="R43:U43"/>
    <mergeCell ref="V43:Y43"/>
    <mergeCell ref="U27:V27"/>
  </mergeCells>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A1:AQ294"/>
  <sheetViews>
    <sheetView zoomScaleNormal="100" workbookViewId="0">
      <selection activeCell="C7" sqref="C7"/>
    </sheetView>
  </sheetViews>
  <sheetFormatPr defaultRowHeight="14.5" x14ac:dyDescent="0.35"/>
  <cols>
    <col min="2" max="2" width="24.453125" bestFit="1" customWidth="1"/>
    <col min="3" max="3" width="15.54296875" bestFit="1" customWidth="1"/>
    <col min="4" max="4" width="15.54296875" customWidth="1"/>
    <col min="5" max="5" width="14.54296875" customWidth="1"/>
    <col min="6" max="7" width="15.54296875" bestFit="1" customWidth="1"/>
  </cols>
  <sheetData>
    <row r="1" spans="1:43" ht="15" thickBot="1" x14ac:dyDescent="0.4">
      <c r="B1" s="353" t="s">
        <v>97</v>
      </c>
      <c r="C1" s="354"/>
      <c r="E1" s="353" t="s">
        <v>98</v>
      </c>
      <c r="F1" s="357"/>
      <c r="G1" s="354"/>
      <c r="I1" s="355" t="s">
        <v>99</v>
      </c>
      <c r="J1" s="356"/>
      <c r="K1" s="356"/>
      <c r="L1" s="356"/>
      <c r="M1" s="356"/>
      <c r="N1" s="356"/>
      <c r="O1" s="356"/>
      <c r="P1" s="356"/>
      <c r="Q1" s="356"/>
      <c r="R1" s="356"/>
      <c r="S1" s="355" t="s">
        <v>100</v>
      </c>
      <c r="T1" s="356"/>
      <c r="U1" s="356"/>
      <c r="V1" s="358"/>
      <c r="W1" s="355" t="s">
        <v>101</v>
      </c>
      <c r="X1" s="356"/>
      <c r="Y1" s="353" t="s">
        <v>102</v>
      </c>
      <c r="Z1" s="357"/>
      <c r="AA1" s="357"/>
      <c r="AB1" s="357"/>
      <c r="AC1" s="357"/>
      <c r="AD1" s="357"/>
      <c r="AE1" s="357"/>
      <c r="AF1" s="357"/>
      <c r="AG1" s="357"/>
      <c r="AH1" s="354"/>
      <c r="AI1" s="301"/>
      <c r="AJ1" s="301"/>
      <c r="AK1" s="301"/>
      <c r="AL1" s="301"/>
      <c r="AM1" s="301"/>
      <c r="AO1" s="355" t="s">
        <v>98</v>
      </c>
      <c r="AP1" s="356"/>
      <c r="AQ1" s="356"/>
    </row>
    <row r="2" spans="1:43" ht="15" thickBot="1" x14ac:dyDescent="0.4">
      <c r="A2" s="11" t="s">
        <v>103</v>
      </c>
      <c r="B2" s="10" t="s">
        <v>104</v>
      </c>
      <c r="C2" s="10" t="s">
        <v>105</v>
      </c>
      <c r="D2" s="54"/>
      <c r="E2" s="10" t="s">
        <v>106</v>
      </c>
      <c r="F2" s="10" t="s">
        <v>107</v>
      </c>
      <c r="G2" s="10" t="s">
        <v>108</v>
      </c>
      <c r="I2" s="10" t="s">
        <v>109</v>
      </c>
      <c r="J2" s="10" t="str">
        <f>Y2</f>
        <v>Ak</v>
      </c>
      <c r="K2" s="10" t="str">
        <f>Z2</f>
        <v>W/T</v>
      </c>
      <c r="L2" s="10" t="str">
        <f t="shared" ref="L2:N2" si="0">AA2</f>
        <v>BOP</v>
      </c>
      <c r="M2" s="10" t="str">
        <f t="shared" si="0"/>
        <v>Gis</v>
      </c>
      <c r="N2" s="10" t="str">
        <f t="shared" si="0"/>
        <v>H/SNI</v>
      </c>
      <c r="O2" s="10" t="str">
        <f t="shared" ref="O2:P2" si="1">AD2</f>
        <v>N/M</v>
      </c>
      <c r="P2" s="10" t="str">
        <f t="shared" si="1"/>
        <v>C/W</v>
      </c>
      <c r="Q2" s="10" t="str">
        <f t="shared" ref="Q2" si="2">AF2</f>
        <v>O</v>
      </c>
      <c r="R2" s="10" t="str">
        <f t="shared" ref="R2" si="3">AG2</f>
        <v>S</v>
      </c>
      <c r="S2" s="10" t="s">
        <v>110</v>
      </c>
      <c r="T2" s="10" t="s">
        <v>111</v>
      </c>
      <c r="U2" s="10" t="s">
        <v>110</v>
      </c>
      <c r="V2" s="10" t="s">
        <v>111</v>
      </c>
      <c r="W2" s="10" t="s">
        <v>101</v>
      </c>
      <c r="X2" s="10" t="s">
        <v>101</v>
      </c>
      <c r="Y2" s="10" t="s">
        <v>112</v>
      </c>
      <c r="Z2" s="10" t="s">
        <v>113</v>
      </c>
      <c r="AA2" s="10" t="s">
        <v>114</v>
      </c>
      <c r="AB2" s="10" t="s">
        <v>115</v>
      </c>
      <c r="AC2" s="10" t="s">
        <v>116</v>
      </c>
      <c r="AD2" s="10" t="s">
        <v>117</v>
      </c>
      <c r="AE2" s="10" t="s">
        <v>118</v>
      </c>
      <c r="AF2" s="10" t="s">
        <v>119</v>
      </c>
      <c r="AG2" s="203" t="s">
        <v>120</v>
      </c>
      <c r="AH2" s="10" t="s">
        <v>121</v>
      </c>
      <c r="AJ2" s="10" t="s">
        <v>106</v>
      </c>
      <c r="AK2" s="10" t="s">
        <v>107</v>
      </c>
      <c r="AL2" s="10" t="s">
        <v>108</v>
      </c>
      <c r="AN2" s="10" t="s">
        <v>122</v>
      </c>
    </row>
    <row r="3" spans="1:43" x14ac:dyDescent="0.35">
      <c r="A3" s="47">
        <v>1</v>
      </c>
      <c r="B3" s="50">
        <f>IF(Assumptions!E$22="FMA",'Emission factors'!I3,IF(Assumptions!E$26='Harvest calc'!$J$16,'Emission factors'!J3,IF(Assumptions!E$26='Harvest calc'!$J$17,'Emission factors'!K3,IF(Assumptions!E$26='Harvest calc'!$J$18,'Emission factors'!L3,IF(Assumptions!E$26='Harvest calc'!$J$19,'Emission factors'!M3,IF(Assumptions!E$26='Harvest calc'!$J$20,'Emission factors'!N3,IF(Assumptions!E$26='Harvest calc'!$J$21,'Emission factors'!O3,IF(Assumptions!E$26='Harvest calc'!$J$22,'Emission factors'!P3,IF(Assumptions!E$26='Harvest calc'!$J$23,'Emission factors'!Q3,IF(Assumptions!E$26='Harvest calc'!$J$24,'Emission factors'!R3))))))))))</f>
        <v>0.2</v>
      </c>
      <c r="C3" s="13">
        <f>IF(Assumptions!E$23="Default",'Emission factors'!E3,IF(Assumptions!E$23="FMA",'Emission factors'!F3,G3))</f>
        <v>0.6</v>
      </c>
      <c r="D3" s="13"/>
      <c r="E3" s="23">
        <f t="shared" ref="E3:E50" si="4">AJ4-AJ3</f>
        <v>0.6</v>
      </c>
      <c r="F3" s="23">
        <f t="shared" ref="F3:F50" si="5">AK4-AK3</f>
        <v>0.7</v>
      </c>
      <c r="G3" s="23">
        <f t="shared" ref="G3:G50" si="6">AL4-AL3</f>
        <v>4.5359727412083322</v>
      </c>
      <c r="I3" s="13">
        <f t="shared" ref="I3:I34" si="7">AH4-AH3</f>
        <v>0.5</v>
      </c>
      <c r="J3" s="13">
        <f t="shared" ref="J3:L4" si="8">Y4-Y3</f>
        <v>0.5</v>
      </c>
      <c r="K3" s="13">
        <f t="shared" ref="K3" si="9">Z4-Z3</f>
        <v>0.4</v>
      </c>
      <c r="L3" s="13">
        <f t="shared" ref="L3" si="10">AA4-AA3</f>
        <v>0.4</v>
      </c>
      <c r="M3" s="13">
        <f t="shared" ref="M3:N18" si="11">AB4-AB3</f>
        <v>0.6</v>
      </c>
      <c r="N3" s="13">
        <f t="shared" si="11"/>
        <v>0.5</v>
      </c>
      <c r="O3" s="13">
        <f t="shared" ref="O3" si="12">AD4-AD3</f>
        <v>0.2</v>
      </c>
      <c r="P3" s="13">
        <f t="shared" ref="P3" si="13">AE4-AE3</f>
        <v>0.2</v>
      </c>
      <c r="Q3" s="13">
        <f t="shared" ref="Q3" si="14">AF4-AF3</f>
        <v>0.3</v>
      </c>
      <c r="R3" s="13">
        <f t="shared" ref="R3" si="15">AG4-AG3</f>
        <v>0.2</v>
      </c>
      <c r="S3" s="13">
        <f>U3</f>
        <v>0.6</v>
      </c>
      <c r="T3">
        <f>V3</f>
        <v>0.2</v>
      </c>
      <c r="U3">
        <v>0.6</v>
      </c>
      <c r="V3">
        <v>0.2</v>
      </c>
      <c r="W3">
        <v>0</v>
      </c>
      <c r="X3">
        <v>0</v>
      </c>
      <c r="Y3">
        <v>0</v>
      </c>
      <c r="Z3">
        <v>0</v>
      </c>
      <c r="AA3">
        <v>0</v>
      </c>
      <c r="AB3">
        <v>0</v>
      </c>
      <c r="AC3">
        <v>0</v>
      </c>
      <c r="AD3">
        <v>0</v>
      </c>
      <c r="AE3">
        <v>0</v>
      </c>
      <c r="AF3">
        <v>0</v>
      </c>
      <c r="AG3">
        <v>0</v>
      </c>
      <c r="AH3" s="13">
        <v>0</v>
      </c>
      <c r="AJ3">
        <v>0</v>
      </c>
      <c r="AK3" s="13">
        <v>0</v>
      </c>
      <c r="AL3" s="23">
        <v>7.2189252789499987</v>
      </c>
      <c r="AN3" t="s">
        <v>112</v>
      </c>
      <c r="AO3" t="s">
        <v>24</v>
      </c>
    </row>
    <row r="4" spans="1:43" x14ac:dyDescent="0.35">
      <c r="A4" s="48">
        <f>A3+1</f>
        <v>2</v>
      </c>
      <c r="B4" s="50">
        <f>IF(Assumptions!E$22="FMA",'Emission factors'!I4,IF(Assumptions!E$26='Harvest calc'!$J$16,'Emission factors'!J4,IF(Assumptions!E$26='Harvest calc'!$J$17,'Emission factors'!K4,IF(Assumptions!E$26='Harvest calc'!$J$18,'Emission factors'!L4,IF(Assumptions!E$26='Harvest calc'!$J$19,'Emission factors'!M4,IF(Assumptions!E$26='Harvest calc'!$J$20,'Emission factors'!N4,IF(Assumptions!E$26='Harvest calc'!$J$21,'Emission factors'!O4,IF(Assumptions!E$26='Harvest calc'!$J$22,'Emission factors'!P4,IF(Assumptions!E$26='Harvest calc'!$J$23,'Emission factors'!Q4,IF(Assumptions!E$26='Harvest calc'!$J$24,'Emission factors'!R4))))))))))</f>
        <v>0.8</v>
      </c>
      <c r="C4" s="13">
        <f>IF(Assumptions!E$23="Default",'Emission factors'!E4,IF(Assumptions!E$23="FMA",'Emission factors'!F4,G4))</f>
        <v>0.6</v>
      </c>
      <c r="D4" s="13"/>
      <c r="E4">
        <f t="shared" si="4"/>
        <v>0.6</v>
      </c>
      <c r="F4">
        <f t="shared" si="5"/>
        <v>1</v>
      </c>
      <c r="G4" s="24">
        <f t="shared" si="6"/>
        <v>5.4991528140083386</v>
      </c>
      <c r="I4" s="13">
        <f t="shared" si="7"/>
        <v>2.1</v>
      </c>
      <c r="J4" s="13">
        <f t="shared" si="8"/>
        <v>2.5</v>
      </c>
      <c r="K4" s="13">
        <f t="shared" si="8"/>
        <v>2.6</v>
      </c>
      <c r="L4" s="13">
        <f t="shared" si="8"/>
        <v>1.6</v>
      </c>
      <c r="M4" s="13">
        <f t="shared" si="11"/>
        <v>3.4</v>
      </c>
      <c r="N4" s="13">
        <f>AC5-AC4</f>
        <v>2.5</v>
      </c>
      <c r="O4" s="13">
        <f t="shared" ref="O4:R4" si="16">AD5-AD4</f>
        <v>0.8</v>
      </c>
      <c r="P4" s="13">
        <f t="shared" si="16"/>
        <v>0.8</v>
      </c>
      <c r="Q4" s="13">
        <f t="shared" si="16"/>
        <v>1.7</v>
      </c>
      <c r="R4" s="13">
        <f t="shared" si="16"/>
        <v>0.8</v>
      </c>
      <c r="S4" s="13">
        <f>U4-U3</f>
        <v>1.2000000000000002</v>
      </c>
      <c r="T4" s="13">
        <f>V4-V3</f>
        <v>0.8</v>
      </c>
      <c r="U4">
        <v>1.8</v>
      </c>
      <c r="V4">
        <v>1</v>
      </c>
      <c r="W4" s="13">
        <f>X4-X3</f>
        <v>0.1</v>
      </c>
      <c r="X4">
        <v>0.1</v>
      </c>
      <c r="Y4">
        <v>0.5</v>
      </c>
      <c r="Z4">
        <v>0.4</v>
      </c>
      <c r="AA4">
        <v>0.4</v>
      </c>
      <c r="AB4">
        <v>0.6</v>
      </c>
      <c r="AC4">
        <v>0.5</v>
      </c>
      <c r="AD4">
        <v>0.2</v>
      </c>
      <c r="AE4">
        <v>0.2</v>
      </c>
      <c r="AF4">
        <v>0.3</v>
      </c>
      <c r="AG4">
        <v>0.2</v>
      </c>
      <c r="AH4" s="13">
        <v>0.5</v>
      </c>
      <c r="AJ4">
        <v>0.6</v>
      </c>
      <c r="AK4" s="13">
        <v>0.7</v>
      </c>
      <c r="AL4" s="24">
        <v>11.754898020158331</v>
      </c>
      <c r="AN4" t="s">
        <v>114</v>
      </c>
      <c r="AO4" t="s">
        <v>27</v>
      </c>
    </row>
    <row r="5" spans="1:43" x14ac:dyDescent="0.35">
      <c r="A5" s="48">
        <f t="shared" ref="A5:A68" si="17">A4+1</f>
        <v>3</v>
      </c>
      <c r="B5" s="50">
        <f>IF(Assumptions!E$22="FMA",'Emission factors'!I5,IF(Assumptions!E$26='Harvest calc'!$J$16,'Emission factors'!J5,IF(Assumptions!E$26='Harvest calc'!$J$17,'Emission factors'!K5,IF(Assumptions!E$26='Harvest calc'!$J$18,'Emission factors'!L5,IF(Assumptions!E$26='Harvest calc'!$J$19,'Emission factors'!M5,IF(Assumptions!E$26='Harvest calc'!$J$20,'Emission factors'!N5,IF(Assumptions!E$26='Harvest calc'!$J$21,'Emission factors'!O5,IF(Assumptions!E$26='Harvest calc'!$J$22,'Emission factors'!P5,IF(Assumptions!E$26='Harvest calc'!$J$23,'Emission factors'!Q5,IF(Assumptions!E$26='Harvest calc'!$J$24,'Emission factors'!R5))))))))))</f>
        <v>1</v>
      </c>
      <c r="C5" s="13">
        <f>IF(Assumptions!E$23="Default",'Emission factors'!E5,IF(Assumptions!E$23="FMA",'Emission factors'!F5,G5))</f>
        <v>1.3</v>
      </c>
      <c r="D5" s="13"/>
      <c r="E5">
        <f t="shared" si="4"/>
        <v>1.3</v>
      </c>
      <c r="F5">
        <f t="shared" si="5"/>
        <v>1.5999999999999999</v>
      </c>
      <c r="G5" s="24">
        <f t="shared" si="6"/>
        <v>6.3972307618083342</v>
      </c>
      <c r="I5" s="13">
        <f t="shared" si="7"/>
        <v>5.5</v>
      </c>
      <c r="J5" s="13">
        <f t="shared" ref="J5:J52" si="18">Y6-Y5</f>
        <v>5</v>
      </c>
      <c r="K5" s="13">
        <f t="shared" ref="K5:K52" si="19">Z6-Z5</f>
        <v>4</v>
      </c>
      <c r="L5" s="13">
        <f t="shared" ref="L5:M52" si="20">AA6-AA5</f>
        <v>4</v>
      </c>
      <c r="M5" s="13">
        <f t="shared" si="11"/>
        <v>6</v>
      </c>
      <c r="N5" s="13">
        <f t="shared" ref="N5:N52" si="21">AC6-AC5</f>
        <v>6</v>
      </c>
      <c r="O5" s="13">
        <f t="shared" ref="O5:O52" si="22">AD6-AD5</f>
        <v>2</v>
      </c>
      <c r="P5" s="13">
        <f t="shared" ref="P5:P52" si="23">AE6-AE5</f>
        <v>1</v>
      </c>
      <c r="Q5" s="13">
        <f t="shared" ref="Q5:Q52" si="24">AF6-AF5</f>
        <v>3</v>
      </c>
      <c r="R5" s="13">
        <f t="shared" ref="R5:R52" si="25">AG6-AG5</f>
        <v>2</v>
      </c>
      <c r="S5" s="13">
        <f t="shared" ref="S5:S23" si="26">U5-U4</f>
        <v>2.7</v>
      </c>
      <c r="T5" s="13">
        <f t="shared" ref="T5:T52" si="27">V5-V4</f>
        <v>2</v>
      </c>
      <c r="U5">
        <v>4.5</v>
      </c>
      <c r="V5">
        <v>3</v>
      </c>
      <c r="W5" s="13">
        <f t="shared" ref="W5:W53" si="28">X5-X4</f>
        <v>0</v>
      </c>
      <c r="X5">
        <v>0.1</v>
      </c>
      <c r="Y5">
        <v>3</v>
      </c>
      <c r="Z5">
        <v>3</v>
      </c>
      <c r="AA5">
        <v>2</v>
      </c>
      <c r="AB5">
        <v>4</v>
      </c>
      <c r="AC5">
        <v>3</v>
      </c>
      <c r="AD5">
        <v>1</v>
      </c>
      <c r="AE5">
        <v>1</v>
      </c>
      <c r="AF5">
        <v>2</v>
      </c>
      <c r="AG5">
        <v>1</v>
      </c>
      <c r="AH5" s="13">
        <v>2.6</v>
      </c>
      <c r="AJ5">
        <v>1.2</v>
      </c>
      <c r="AK5" s="13">
        <v>1.7</v>
      </c>
      <c r="AL5" s="24">
        <v>17.254050834166669</v>
      </c>
      <c r="AN5" t="s">
        <v>118</v>
      </c>
      <c r="AO5" t="s">
        <v>123</v>
      </c>
    </row>
    <row r="6" spans="1:43" x14ac:dyDescent="0.35">
      <c r="A6" s="48">
        <f t="shared" si="17"/>
        <v>4</v>
      </c>
      <c r="B6" s="50">
        <f>IF(Assumptions!E$22="FMA",'Emission factors'!I6,IF(Assumptions!E$26='Harvest calc'!$J$16,'Emission factors'!J6,IF(Assumptions!E$26='Harvest calc'!$J$17,'Emission factors'!K6,IF(Assumptions!E$26='Harvest calc'!$J$18,'Emission factors'!L6,IF(Assumptions!E$26='Harvest calc'!$J$19,'Emission factors'!M6,IF(Assumptions!E$26='Harvest calc'!$J$20,'Emission factors'!N6,IF(Assumptions!E$26='Harvest calc'!$J$21,'Emission factors'!O6,IF(Assumptions!E$26='Harvest calc'!$J$22,'Emission factors'!P6,IF(Assumptions!E$26='Harvest calc'!$J$23,'Emission factors'!Q6,IF(Assumptions!E$26='Harvest calc'!$J$24,'Emission factors'!R6))))))))))</f>
        <v>3</v>
      </c>
      <c r="C6" s="13">
        <f>IF(Assumptions!E$23="Default",'Emission factors'!E6,IF(Assumptions!E$23="FMA",'Emission factors'!F6,G6))</f>
        <v>2.0999999999999996</v>
      </c>
      <c r="D6" s="13"/>
      <c r="E6">
        <f t="shared" si="4"/>
        <v>2.0999999999999996</v>
      </c>
      <c r="F6">
        <f t="shared" si="5"/>
        <v>2.2999999999999998</v>
      </c>
      <c r="G6" s="24">
        <f t="shared" si="6"/>
        <v>7.2302065846083252</v>
      </c>
      <c r="I6" s="13">
        <f t="shared" si="7"/>
        <v>18.200000000000003</v>
      </c>
      <c r="J6" s="13">
        <f t="shared" si="18"/>
        <v>21</v>
      </c>
      <c r="K6" s="13">
        <f t="shared" si="19"/>
        <v>18</v>
      </c>
      <c r="L6" s="13">
        <f t="shared" si="20"/>
        <v>18</v>
      </c>
      <c r="M6" s="13">
        <f t="shared" si="11"/>
        <v>27</v>
      </c>
      <c r="N6" s="13">
        <f t="shared" si="21"/>
        <v>25</v>
      </c>
      <c r="O6" s="13">
        <f t="shared" si="22"/>
        <v>9</v>
      </c>
      <c r="P6" s="13">
        <f t="shared" si="23"/>
        <v>3</v>
      </c>
      <c r="Q6" s="13">
        <f t="shared" si="24"/>
        <v>4</v>
      </c>
      <c r="R6" s="13">
        <f t="shared" si="25"/>
        <v>11</v>
      </c>
      <c r="S6" s="13">
        <f t="shared" si="26"/>
        <v>6.4</v>
      </c>
      <c r="T6" s="13">
        <f t="shared" si="27"/>
        <v>9</v>
      </c>
      <c r="U6">
        <v>10.9</v>
      </c>
      <c r="V6">
        <v>12</v>
      </c>
      <c r="W6" s="13">
        <f t="shared" si="28"/>
        <v>0.30000000000000004</v>
      </c>
      <c r="X6">
        <v>0.4</v>
      </c>
      <c r="Y6">
        <v>8</v>
      </c>
      <c r="Z6">
        <v>7</v>
      </c>
      <c r="AA6">
        <v>6</v>
      </c>
      <c r="AB6">
        <v>10</v>
      </c>
      <c r="AC6">
        <v>9</v>
      </c>
      <c r="AD6">
        <v>3</v>
      </c>
      <c r="AE6">
        <v>2</v>
      </c>
      <c r="AF6">
        <v>5</v>
      </c>
      <c r="AG6">
        <v>3</v>
      </c>
      <c r="AH6" s="13">
        <v>8.1</v>
      </c>
      <c r="AJ6">
        <v>2.5</v>
      </c>
      <c r="AK6" s="13">
        <v>3.3</v>
      </c>
      <c r="AL6" s="24">
        <v>23.651281595975004</v>
      </c>
      <c r="AN6" t="s">
        <v>115</v>
      </c>
      <c r="AO6" t="s">
        <v>29</v>
      </c>
    </row>
    <row r="7" spans="1:43" x14ac:dyDescent="0.35">
      <c r="A7" s="48">
        <f t="shared" si="17"/>
        <v>5</v>
      </c>
      <c r="B7" s="50">
        <f>IF(Assumptions!E$22="FMA",'Emission factors'!I7,IF(Assumptions!E$26='Harvest calc'!$J$16,'Emission factors'!J7,IF(Assumptions!E$26='Harvest calc'!$J$17,'Emission factors'!K7,IF(Assumptions!E$26='Harvest calc'!$J$18,'Emission factors'!L7,IF(Assumptions!E$26='Harvest calc'!$J$19,'Emission factors'!M7,IF(Assumptions!E$26='Harvest calc'!$J$20,'Emission factors'!N7,IF(Assumptions!E$26='Harvest calc'!$J$21,'Emission factors'!O7,IF(Assumptions!E$26='Harvest calc'!$J$22,'Emission factors'!P7,IF(Assumptions!E$26='Harvest calc'!$J$23,'Emission factors'!Q7,IF(Assumptions!E$26='Harvest calc'!$J$24,'Emission factors'!R7))))))))))</f>
        <v>10</v>
      </c>
      <c r="C7" s="13">
        <f>IF(Assumptions!E$23="Default",'Emission factors'!E7,IF(Assumptions!E$23="FMA",'Emission factors'!F7,G7))</f>
        <v>3.2</v>
      </c>
      <c r="D7" s="13"/>
      <c r="E7">
        <f t="shared" si="4"/>
        <v>3.2</v>
      </c>
      <c r="F7">
        <f t="shared" si="5"/>
        <v>3.3000000000000007</v>
      </c>
      <c r="G7" s="24">
        <f t="shared" si="6"/>
        <v>7.9980802824083348</v>
      </c>
      <c r="H7" s="55"/>
      <c r="I7" s="13">
        <f t="shared" si="7"/>
        <v>31.599999999999998</v>
      </c>
      <c r="J7" s="13">
        <f t="shared" si="18"/>
        <v>30</v>
      </c>
      <c r="K7" s="13">
        <f t="shared" si="19"/>
        <v>25</v>
      </c>
      <c r="L7" s="13">
        <f t="shared" si="20"/>
        <v>27</v>
      </c>
      <c r="M7" s="13">
        <f t="shared" si="11"/>
        <v>40</v>
      </c>
      <c r="N7" s="13">
        <f t="shared" si="21"/>
        <v>37</v>
      </c>
      <c r="O7" s="13">
        <f t="shared" si="22"/>
        <v>16</v>
      </c>
      <c r="P7" s="13">
        <f t="shared" si="23"/>
        <v>10</v>
      </c>
      <c r="Q7" s="13">
        <f t="shared" si="24"/>
        <v>17</v>
      </c>
      <c r="R7" s="13">
        <f t="shared" si="25"/>
        <v>21</v>
      </c>
      <c r="S7" s="13">
        <f t="shared" si="26"/>
        <v>11.999999999999998</v>
      </c>
      <c r="T7" s="13">
        <f t="shared" si="27"/>
        <v>14</v>
      </c>
      <c r="U7">
        <v>22.9</v>
      </c>
      <c r="V7">
        <v>26</v>
      </c>
      <c r="W7" s="13">
        <f t="shared" si="28"/>
        <v>0.6</v>
      </c>
      <c r="X7">
        <v>1</v>
      </c>
      <c r="Y7">
        <v>29</v>
      </c>
      <c r="Z7">
        <v>25</v>
      </c>
      <c r="AA7">
        <v>24</v>
      </c>
      <c r="AB7">
        <v>37</v>
      </c>
      <c r="AC7">
        <v>34</v>
      </c>
      <c r="AD7">
        <v>12</v>
      </c>
      <c r="AE7">
        <v>5</v>
      </c>
      <c r="AF7">
        <v>9</v>
      </c>
      <c r="AG7">
        <v>14</v>
      </c>
      <c r="AH7" s="13">
        <v>26.3</v>
      </c>
      <c r="AJ7">
        <v>4.5999999999999996</v>
      </c>
      <c r="AK7" s="13">
        <v>5.6</v>
      </c>
      <c r="AL7" s="24">
        <v>30.881488180583329</v>
      </c>
      <c r="AN7" t="s">
        <v>116</v>
      </c>
      <c r="AO7" t="s">
        <v>124</v>
      </c>
    </row>
    <row r="8" spans="1:43" x14ac:dyDescent="0.35">
      <c r="A8" s="48">
        <f t="shared" si="17"/>
        <v>6</v>
      </c>
      <c r="B8" s="50">
        <f>IF(Assumptions!E$22="FMA",'Emission factors'!I8,IF(Assumptions!E$26='Harvest calc'!$J$16,'Emission factors'!J8,IF(Assumptions!E$26='Harvest calc'!$J$17,'Emission factors'!K8,IF(Assumptions!E$26='Harvest calc'!$J$18,'Emission factors'!L8,IF(Assumptions!E$26='Harvest calc'!$J$19,'Emission factors'!M8,IF(Assumptions!E$26='Harvest calc'!$J$20,'Emission factors'!N8,IF(Assumptions!E$26='Harvest calc'!$J$21,'Emission factors'!O8,IF(Assumptions!E$26='Harvest calc'!$J$22,'Emission factors'!P8,IF(Assumptions!E$26='Harvest calc'!$J$23,'Emission factors'!Q8,IF(Assumptions!E$26='Harvest calc'!$J$24,'Emission factors'!R8))))))))))</f>
        <v>16</v>
      </c>
      <c r="C8" s="13">
        <f>IF(Assumptions!E$23="Default",'Emission factors'!E8,IF(Assumptions!E$23="FMA",'Emission factors'!F8,G8))</f>
        <v>4.3</v>
      </c>
      <c r="D8" s="13"/>
      <c r="E8">
        <f t="shared" si="4"/>
        <v>4.3</v>
      </c>
      <c r="F8">
        <f t="shared" si="5"/>
        <v>4</v>
      </c>
      <c r="G8" s="24">
        <f t="shared" si="6"/>
        <v>8.7008518552083345</v>
      </c>
      <c r="I8" s="13">
        <f t="shared" si="7"/>
        <v>44.1</v>
      </c>
      <c r="J8" s="13">
        <f t="shared" si="18"/>
        <v>39</v>
      </c>
      <c r="K8" s="13">
        <f t="shared" si="19"/>
        <v>34</v>
      </c>
      <c r="L8" s="13">
        <f t="shared" si="20"/>
        <v>33</v>
      </c>
      <c r="M8" s="13">
        <f t="shared" si="11"/>
        <v>44</v>
      </c>
      <c r="N8" s="13">
        <f t="shared" si="21"/>
        <v>42</v>
      </c>
      <c r="O8" s="13">
        <f t="shared" si="22"/>
        <v>20</v>
      </c>
      <c r="P8" s="13">
        <f t="shared" si="23"/>
        <v>16</v>
      </c>
      <c r="Q8" s="13">
        <f t="shared" si="24"/>
        <v>23</v>
      </c>
      <c r="R8" s="13">
        <f t="shared" si="25"/>
        <v>30</v>
      </c>
      <c r="S8" s="13">
        <f t="shared" si="26"/>
        <v>17.100000000000001</v>
      </c>
      <c r="T8" s="13">
        <f t="shared" si="27"/>
        <v>19</v>
      </c>
      <c r="U8">
        <v>40</v>
      </c>
      <c r="V8">
        <v>45</v>
      </c>
      <c r="W8" s="13">
        <f t="shared" si="28"/>
        <v>1</v>
      </c>
      <c r="X8">
        <v>2</v>
      </c>
      <c r="Y8">
        <v>59</v>
      </c>
      <c r="Z8">
        <v>50</v>
      </c>
      <c r="AA8">
        <v>51</v>
      </c>
      <c r="AB8">
        <v>77</v>
      </c>
      <c r="AC8">
        <v>71</v>
      </c>
      <c r="AD8">
        <v>28</v>
      </c>
      <c r="AE8">
        <v>15</v>
      </c>
      <c r="AF8">
        <v>26</v>
      </c>
      <c r="AG8">
        <v>35</v>
      </c>
      <c r="AH8" s="13">
        <v>57.9</v>
      </c>
      <c r="AJ8">
        <v>7.8</v>
      </c>
      <c r="AK8" s="13">
        <v>8.9</v>
      </c>
      <c r="AL8" s="24">
        <v>38.879568462991664</v>
      </c>
      <c r="AN8" t="s">
        <v>117</v>
      </c>
      <c r="AO8" t="s">
        <v>32</v>
      </c>
    </row>
    <row r="9" spans="1:43" x14ac:dyDescent="0.35">
      <c r="A9" s="48">
        <f t="shared" si="17"/>
        <v>7</v>
      </c>
      <c r="B9" s="50">
        <f>IF(Assumptions!E$22="FMA",'Emission factors'!I9,IF(Assumptions!E$26='Harvest calc'!$J$16,'Emission factors'!J9,IF(Assumptions!E$26='Harvest calc'!$J$17,'Emission factors'!K9,IF(Assumptions!E$26='Harvest calc'!$J$18,'Emission factors'!L9,IF(Assumptions!E$26='Harvest calc'!$J$19,'Emission factors'!M9,IF(Assumptions!E$26='Harvest calc'!$J$20,'Emission factors'!N9,IF(Assumptions!E$26='Harvest calc'!$J$21,'Emission factors'!O9,IF(Assumptions!E$26='Harvest calc'!$J$22,'Emission factors'!P9,IF(Assumptions!E$26='Harvest calc'!$J$23,'Emission factors'!Q9,IF(Assumptions!E$26='Harvest calc'!$J$24,'Emission factors'!R9))))))))))</f>
        <v>22</v>
      </c>
      <c r="C9" s="13">
        <f>IF(Assumptions!E$23="Default",'Emission factors'!E9,IF(Assumptions!E$23="FMA",'Emission factors'!F9,G9))</f>
        <v>5.4</v>
      </c>
      <c r="D9" s="13"/>
      <c r="E9">
        <f t="shared" si="4"/>
        <v>5.4</v>
      </c>
      <c r="F9">
        <f t="shared" si="5"/>
        <v>4.9999999999999982</v>
      </c>
      <c r="G9" s="24">
        <f t="shared" si="6"/>
        <v>9.338521303008342</v>
      </c>
      <c r="I9" s="13">
        <f t="shared" si="7"/>
        <v>51.099999999999994</v>
      </c>
      <c r="J9" s="13">
        <f t="shared" si="18"/>
        <v>33</v>
      </c>
      <c r="K9" s="13">
        <f t="shared" si="19"/>
        <v>27</v>
      </c>
      <c r="L9" s="13">
        <f t="shared" si="20"/>
        <v>34</v>
      </c>
      <c r="M9" s="13">
        <f t="shared" si="11"/>
        <v>41</v>
      </c>
      <c r="N9" s="13">
        <f t="shared" si="21"/>
        <v>42</v>
      </c>
      <c r="O9" s="13">
        <f t="shared" si="22"/>
        <v>25</v>
      </c>
      <c r="P9" s="13">
        <f t="shared" si="23"/>
        <v>22</v>
      </c>
      <c r="Q9" s="13">
        <f t="shared" si="24"/>
        <v>23</v>
      </c>
      <c r="R9" s="13">
        <f t="shared" si="25"/>
        <v>34</v>
      </c>
      <c r="S9" s="13">
        <f t="shared" si="26"/>
        <v>21</v>
      </c>
      <c r="T9" s="13">
        <f t="shared" si="27"/>
        <v>18</v>
      </c>
      <c r="U9">
        <v>61</v>
      </c>
      <c r="V9">
        <v>63</v>
      </c>
      <c r="W9" s="13">
        <f t="shared" si="28"/>
        <v>2</v>
      </c>
      <c r="X9">
        <v>4</v>
      </c>
      <c r="Y9">
        <v>98</v>
      </c>
      <c r="Z9">
        <v>84</v>
      </c>
      <c r="AA9">
        <v>84</v>
      </c>
      <c r="AB9">
        <v>121</v>
      </c>
      <c r="AC9">
        <v>113</v>
      </c>
      <c r="AD9">
        <v>48</v>
      </c>
      <c r="AE9">
        <v>31</v>
      </c>
      <c r="AF9">
        <v>49</v>
      </c>
      <c r="AG9">
        <v>65</v>
      </c>
      <c r="AH9" s="13">
        <v>102</v>
      </c>
      <c r="AJ9">
        <v>12.1</v>
      </c>
      <c r="AK9" s="13">
        <v>12.9</v>
      </c>
      <c r="AL9" s="24">
        <v>47.580420318199998</v>
      </c>
      <c r="AN9" t="s">
        <v>119</v>
      </c>
      <c r="AO9" t="s">
        <v>34</v>
      </c>
    </row>
    <row r="10" spans="1:43" x14ac:dyDescent="0.35">
      <c r="A10" s="48">
        <f t="shared" si="17"/>
        <v>8</v>
      </c>
      <c r="B10" s="50">
        <f>IF(Assumptions!E$22="FMA",'Emission factors'!I10,IF(Assumptions!E$26='Harvest calc'!$J$16,'Emission factors'!J10,IF(Assumptions!E$26='Harvest calc'!$J$17,'Emission factors'!K10,IF(Assumptions!E$26='Harvest calc'!$J$18,'Emission factors'!L10,IF(Assumptions!E$26='Harvest calc'!$J$19,'Emission factors'!M10,IF(Assumptions!E$26='Harvest calc'!$J$20,'Emission factors'!N10,IF(Assumptions!E$26='Harvest calc'!$J$21,'Emission factors'!O10,IF(Assumptions!E$26='Harvest calc'!$J$22,'Emission factors'!P10,IF(Assumptions!E$26='Harvest calc'!$J$23,'Emission factors'!Q10,IF(Assumptions!E$26='Harvest calc'!$J$24,'Emission factors'!R10))))))))))</f>
        <v>23</v>
      </c>
      <c r="C10" s="13">
        <f>IF(Assumptions!E$23="Default",'Emission factors'!E10,IF(Assumptions!E$23="FMA",'Emission factors'!F10,G10))</f>
        <v>6.5</v>
      </c>
      <c r="D10" s="13"/>
      <c r="E10">
        <f t="shared" si="4"/>
        <v>6.5</v>
      </c>
      <c r="F10">
        <f t="shared" si="5"/>
        <v>5.8000000000000007</v>
      </c>
      <c r="G10" s="24">
        <f t="shared" si="6"/>
        <v>9.9110886258083255</v>
      </c>
      <c r="I10" s="13">
        <f t="shared" si="7"/>
        <v>51.200000000000017</v>
      </c>
      <c r="J10" s="13">
        <f t="shared" si="18"/>
        <v>22</v>
      </c>
      <c r="K10" s="13">
        <f t="shared" si="19"/>
        <v>19</v>
      </c>
      <c r="L10" s="13">
        <f t="shared" si="20"/>
        <v>25</v>
      </c>
      <c r="M10" s="13">
        <f t="shared" si="11"/>
        <v>28</v>
      </c>
      <c r="N10" s="13">
        <f t="shared" si="21"/>
        <v>30</v>
      </c>
      <c r="O10" s="13">
        <f t="shared" si="22"/>
        <v>27</v>
      </c>
      <c r="P10" s="13">
        <f t="shared" si="23"/>
        <v>23</v>
      </c>
      <c r="Q10" s="13">
        <f t="shared" si="24"/>
        <v>22</v>
      </c>
      <c r="R10" s="13">
        <f t="shared" si="25"/>
        <v>35</v>
      </c>
      <c r="S10" s="13">
        <f t="shared" si="26"/>
        <v>23.799999999999997</v>
      </c>
      <c r="T10" s="13">
        <f t="shared" si="27"/>
        <v>14</v>
      </c>
      <c r="U10">
        <v>84.8</v>
      </c>
      <c r="V10">
        <v>77</v>
      </c>
      <c r="W10" s="13">
        <f t="shared" si="28"/>
        <v>3</v>
      </c>
      <c r="X10">
        <v>7</v>
      </c>
      <c r="Y10">
        <v>131</v>
      </c>
      <c r="Z10">
        <v>111</v>
      </c>
      <c r="AA10">
        <v>118</v>
      </c>
      <c r="AB10">
        <v>162</v>
      </c>
      <c r="AC10">
        <v>155</v>
      </c>
      <c r="AD10">
        <v>73</v>
      </c>
      <c r="AE10">
        <v>53</v>
      </c>
      <c r="AF10">
        <v>72</v>
      </c>
      <c r="AG10">
        <v>99</v>
      </c>
      <c r="AH10" s="13">
        <v>153.1</v>
      </c>
      <c r="AJ10">
        <v>17.5</v>
      </c>
      <c r="AK10" s="13">
        <v>17.899999999999999</v>
      </c>
      <c r="AL10" s="24">
        <v>56.91894162120834</v>
      </c>
      <c r="AN10" t="s">
        <v>120</v>
      </c>
      <c r="AO10" t="s">
        <v>35</v>
      </c>
    </row>
    <row r="11" spans="1:43" x14ac:dyDescent="0.35">
      <c r="A11" s="48">
        <f t="shared" si="17"/>
        <v>9</v>
      </c>
      <c r="B11" s="50">
        <f>IF(Assumptions!E$22="FMA",'Emission factors'!I11,IF(Assumptions!E$26='Harvest calc'!$J$16,'Emission factors'!J11,IF(Assumptions!E$26='Harvest calc'!$J$17,'Emission factors'!K11,IF(Assumptions!E$26='Harvest calc'!$J$18,'Emission factors'!L11,IF(Assumptions!E$26='Harvest calc'!$J$19,'Emission factors'!M11,IF(Assumptions!E$26='Harvest calc'!$J$20,'Emission factors'!N11,IF(Assumptions!E$26='Harvest calc'!$J$21,'Emission factors'!O11,IF(Assumptions!E$26='Harvest calc'!$J$22,'Emission factors'!P11,IF(Assumptions!E$26='Harvest calc'!$J$23,'Emission factors'!Q11,IF(Assumptions!E$26='Harvest calc'!$J$24,'Emission factors'!R11))))))))))</f>
        <v>25</v>
      </c>
      <c r="C11" s="13">
        <f>IF(Assumptions!E$23="Default",'Emission factors'!E11,IF(Assumptions!E$23="FMA",'Emission factors'!F11,G11))</f>
        <v>7.6000000000000014</v>
      </c>
      <c r="D11" s="13"/>
      <c r="E11">
        <f t="shared" si="4"/>
        <v>7.6000000000000014</v>
      </c>
      <c r="F11">
        <f t="shared" si="5"/>
        <v>6.5</v>
      </c>
      <c r="G11" s="24">
        <f t="shared" si="6"/>
        <v>10.418553823608335</v>
      </c>
      <c r="I11" s="13">
        <f t="shared" si="7"/>
        <v>46.199999999999989</v>
      </c>
      <c r="J11" s="13">
        <f t="shared" si="18"/>
        <v>13</v>
      </c>
      <c r="K11" s="13">
        <f t="shared" si="19"/>
        <v>12</v>
      </c>
      <c r="L11" s="13">
        <f t="shared" si="20"/>
        <v>12</v>
      </c>
      <c r="M11" s="13">
        <f t="shared" si="11"/>
        <v>11</v>
      </c>
      <c r="N11" s="13">
        <f t="shared" si="21"/>
        <v>12</v>
      </c>
      <c r="O11" s="13">
        <f t="shared" si="22"/>
        <v>17</v>
      </c>
      <c r="P11" s="13">
        <f t="shared" si="23"/>
        <v>25</v>
      </c>
      <c r="Q11" s="13">
        <f t="shared" si="24"/>
        <v>30</v>
      </c>
      <c r="R11" s="13">
        <f t="shared" si="25"/>
        <v>26</v>
      </c>
      <c r="S11" s="13">
        <f t="shared" si="26"/>
        <v>26.5</v>
      </c>
      <c r="T11" s="13">
        <f t="shared" si="27"/>
        <v>10</v>
      </c>
      <c r="U11">
        <v>111.3</v>
      </c>
      <c r="V11">
        <v>87</v>
      </c>
      <c r="W11" s="13">
        <f t="shared" si="28"/>
        <v>13</v>
      </c>
      <c r="X11">
        <v>20</v>
      </c>
      <c r="Y11">
        <v>153</v>
      </c>
      <c r="Z11">
        <v>130</v>
      </c>
      <c r="AA11">
        <v>143</v>
      </c>
      <c r="AB11">
        <v>190</v>
      </c>
      <c r="AC11">
        <v>185</v>
      </c>
      <c r="AD11">
        <v>100</v>
      </c>
      <c r="AE11">
        <v>76</v>
      </c>
      <c r="AF11">
        <v>94</v>
      </c>
      <c r="AG11">
        <v>134</v>
      </c>
      <c r="AH11" s="13">
        <v>204.3</v>
      </c>
      <c r="AJ11">
        <v>24</v>
      </c>
      <c r="AK11" s="13">
        <v>23.7</v>
      </c>
      <c r="AL11" s="24">
        <v>66.830030247016666</v>
      </c>
      <c r="AN11" t="s">
        <v>113</v>
      </c>
      <c r="AO11" t="s">
        <v>26</v>
      </c>
    </row>
    <row r="12" spans="1:43" x14ac:dyDescent="0.35">
      <c r="A12" s="48">
        <f t="shared" si="17"/>
        <v>10</v>
      </c>
      <c r="B12" s="50">
        <f>IF(Assumptions!E$22="FMA",'Emission factors'!I12,IF(Assumptions!E$26='Harvest calc'!$J$16,'Emission factors'!J12,IF(Assumptions!E$26='Harvest calc'!$J$17,'Emission factors'!K12,IF(Assumptions!E$26='Harvest calc'!$J$18,'Emission factors'!L12,IF(Assumptions!E$26='Harvest calc'!$J$19,'Emission factors'!M12,IF(Assumptions!E$26='Harvest calc'!$J$20,'Emission factors'!N12,IF(Assumptions!E$26='Harvest calc'!$J$21,'Emission factors'!O12,IF(Assumptions!E$26='Harvest calc'!$J$22,'Emission factors'!P12,IF(Assumptions!E$26='Harvest calc'!$J$23,'Emission factors'!Q12,IF(Assumptions!E$26='Harvest calc'!$J$24,'Emission factors'!R12))))))))))</f>
        <v>24</v>
      </c>
      <c r="C12" s="13">
        <f>IF(Assumptions!E$23="Default",'Emission factors'!E12,IF(Assumptions!E$23="FMA",'Emission factors'!F12,G12))</f>
        <v>8.6000000000000014</v>
      </c>
      <c r="D12" s="13"/>
      <c r="E12">
        <f t="shared" si="4"/>
        <v>8.6000000000000014</v>
      </c>
      <c r="F12">
        <f t="shared" si="5"/>
        <v>7.5000000000000036</v>
      </c>
      <c r="G12" s="24">
        <f t="shared" si="6"/>
        <v>10.860916896408341</v>
      </c>
      <c r="I12" s="13">
        <f t="shared" si="7"/>
        <v>42</v>
      </c>
      <c r="J12" s="13">
        <f t="shared" si="18"/>
        <v>22</v>
      </c>
      <c r="K12" s="13">
        <f t="shared" si="19"/>
        <v>21</v>
      </c>
      <c r="L12" s="13">
        <f t="shared" si="20"/>
        <v>14</v>
      </c>
      <c r="M12" s="13">
        <f t="shared" si="11"/>
        <v>18</v>
      </c>
      <c r="N12" s="13">
        <f t="shared" si="21"/>
        <v>13</v>
      </c>
      <c r="O12" s="13">
        <f t="shared" si="22"/>
        <v>15</v>
      </c>
      <c r="P12" s="13">
        <f t="shared" si="23"/>
        <v>24</v>
      </c>
      <c r="Q12" s="13">
        <f t="shared" si="24"/>
        <v>17</v>
      </c>
      <c r="R12" s="13">
        <f t="shared" si="25"/>
        <v>14</v>
      </c>
      <c r="S12" s="13">
        <f t="shared" si="26"/>
        <v>28.399999999999991</v>
      </c>
      <c r="T12" s="13">
        <f t="shared" si="27"/>
        <v>8</v>
      </c>
      <c r="U12">
        <v>139.69999999999999</v>
      </c>
      <c r="V12">
        <v>95</v>
      </c>
      <c r="W12" s="13">
        <f t="shared" si="28"/>
        <v>13</v>
      </c>
      <c r="X12">
        <v>33</v>
      </c>
      <c r="Y12">
        <v>166</v>
      </c>
      <c r="Z12">
        <v>142</v>
      </c>
      <c r="AA12">
        <v>155</v>
      </c>
      <c r="AB12">
        <v>201</v>
      </c>
      <c r="AC12">
        <v>197</v>
      </c>
      <c r="AD12">
        <v>117</v>
      </c>
      <c r="AE12">
        <v>101</v>
      </c>
      <c r="AF12">
        <v>124</v>
      </c>
      <c r="AG12">
        <v>160</v>
      </c>
      <c r="AH12" s="13">
        <v>250.5</v>
      </c>
      <c r="AJ12">
        <v>31.6</v>
      </c>
      <c r="AK12" s="13">
        <v>30.2</v>
      </c>
      <c r="AL12" s="24">
        <v>77.248584070625</v>
      </c>
      <c r="AN12" t="s">
        <v>125</v>
      </c>
      <c r="AO12" t="s">
        <v>126</v>
      </c>
    </row>
    <row r="13" spans="1:43" x14ac:dyDescent="0.35">
      <c r="A13" s="48">
        <f t="shared" si="17"/>
        <v>11</v>
      </c>
      <c r="B13" s="50">
        <f>IF(Assumptions!E$22="FMA",'Emission factors'!I13,IF(Assumptions!E$26='Harvest calc'!$J$16,'Emission factors'!J13,IF(Assumptions!E$26='Harvest calc'!$J$17,'Emission factors'!K13,IF(Assumptions!E$26='Harvest calc'!$J$18,'Emission factors'!L13,IF(Assumptions!E$26='Harvest calc'!$J$19,'Emission factors'!M13,IF(Assumptions!E$26='Harvest calc'!$J$20,'Emission factors'!N13,IF(Assumptions!E$26='Harvest calc'!$J$21,'Emission factors'!O13,IF(Assumptions!E$26='Harvest calc'!$J$22,'Emission factors'!P13,IF(Assumptions!E$26='Harvest calc'!$J$23,'Emission factors'!Q13,IF(Assumptions!E$26='Harvest calc'!$J$24,'Emission factors'!R13))))))))))</f>
        <v>14</v>
      </c>
      <c r="C13" s="13">
        <f>IF(Assumptions!E$23="Default",'Emission factors'!E13,IF(Assumptions!E$23="FMA",'Emission factors'!F13,G13))</f>
        <v>9.5999999999999943</v>
      </c>
      <c r="D13" s="13"/>
      <c r="E13">
        <f t="shared" si="4"/>
        <v>9.5999999999999943</v>
      </c>
      <c r="F13">
        <f t="shared" si="5"/>
        <v>7.8999999999999986</v>
      </c>
      <c r="G13" s="24">
        <f t="shared" si="6"/>
        <v>11.238177844208337</v>
      </c>
      <c r="I13" s="13">
        <f t="shared" si="7"/>
        <v>36.5</v>
      </c>
      <c r="J13" s="13">
        <f t="shared" si="18"/>
        <v>29</v>
      </c>
      <c r="K13" s="13">
        <f t="shared" si="19"/>
        <v>25</v>
      </c>
      <c r="L13" s="13">
        <f t="shared" si="20"/>
        <v>19</v>
      </c>
      <c r="M13" s="13">
        <f t="shared" si="11"/>
        <v>23</v>
      </c>
      <c r="N13" s="13">
        <f t="shared" si="21"/>
        <v>23</v>
      </c>
      <c r="O13" s="13">
        <f t="shared" si="22"/>
        <v>12</v>
      </c>
      <c r="P13" s="13">
        <f t="shared" si="23"/>
        <v>14</v>
      </c>
      <c r="Q13" s="13">
        <f t="shared" si="24"/>
        <v>5</v>
      </c>
      <c r="R13" s="13">
        <f t="shared" si="25"/>
        <v>7</v>
      </c>
      <c r="S13" s="13">
        <f t="shared" si="26"/>
        <v>28.800000000000011</v>
      </c>
      <c r="T13" s="13">
        <f t="shared" si="27"/>
        <v>11</v>
      </c>
      <c r="U13">
        <v>168.5</v>
      </c>
      <c r="V13">
        <v>106</v>
      </c>
      <c r="W13" s="13">
        <f t="shared" si="28"/>
        <v>17</v>
      </c>
      <c r="X13">
        <v>50</v>
      </c>
      <c r="Y13">
        <v>188</v>
      </c>
      <c r="Z13">
        <v>163</v>
      </c>
      <c r="AA13">
        <v>169</v>
      </c>
      <c r="AB13">
        <v>219</v>
      </c>
      <c r="AC13">
        <v>210</v>
      </c>
      <c r="AD13">
        <v>132</v>
      </c>
      <c r="AE13">
        <v>125</v>
      </c>
      <c r="AF13">
        <v>141</v>
      </c>
      <c r="AG13">
        <v>174</v>
      </c>
      <c r="AH13" s="13">
        <v>292.5</v>
      </c>
      <c r="AI13" s="13"/>
      <c r="AJ13">
        <v>40.200000000000003</v>
      </c>
      <c r="AK13" s="13">
        <v>37.700000000000003</v>
      </c>
      <c r="AL13" s="24">
        <v>88.109500967033341</v>
      </c>
      <c r="AN13" t="s">
        <v>127</v>
      </c>
      <c r="AO13" t="s">
        <v>128</v>
      </c>
    </row>
    <row r="14" spans="1:43" x14ac:dyDescent="0.35">
      <c r="A14" s="48">
        <f t="shared" si="17"/>
        <v>12</v>
      </c>
      <c r="B14" s="50">
        <f>IF(Assumptions!E$22="FMA",'Emission factors'!I14,IF(Assumptions!E$26='Harvest calc'!$J$16,'Emission factors'!J14,IF(Assumptions!E$26='Harvest calc'!$J$17,'Emission factors'!K14,IF(Assumptions!E$26='Harvest calc'!$J$18,'Emission factors'!L14,IF(Assumptions!E$26='Harvest calc'!$J$19,'Emission factors'!M14,IF(Assumptions!E$26='Harvest calc'!$J$20,'Emission factors'!N14,IF(Assumptions!E$26='Harvest calc'!$J$21,'Emission factors'!O14,IF(Assumptions!E$26='Harvest calc'!$J$22,'Emission factors'!P14,IF(Assumptions!E$26='Harvest calc'!$J$23,'Emission factors'!Q14,IF(Assumptions!E$26='Harvest calc'!$J$24,'Emission factors'!R14))))))))))</f>
        <v>11</v>
      </c>
      <c r="C14" s="13">
        <f>IF(Assumptions!E$23="Default",'Emission factors'!E14,IF(Assumptions!E$23="FMA",'Emission factors'!F14,G14))</f>
        <v>10.5</v>
      </c>
      <c r="D14" s="13"/>
      <c r="E14">
        <f t="shared" si="4"/>
        <v>10.5</v>
      </c>
      <c r="F14">
        <f t="shared" si="5"/>
        <v>8.1000000000000014</v>
      </c>
      <c r="G14" s="24">
        <f t="shared" si="6"/>
        <v>11.55033666700831</v>
      </c>
      <c r="I14" s="13">
        <f t="shared" si="7"/>
        <v>37.5</v>
      </c>
      <c r="J14" s="13">
        <f t="shared" si="18"/>
        <v>32</v>
      </c>
      <c r="K14" s="13">
        <f t="shared" si="19"/>
        <v>30</v>
      </c>
      <c r="L14" s="13">
        <f t="shared" si="20"/>
        <v>24</v>
      </c>
      <c r="M14" s="13">
        <f t="shared" si="11"/>
        <v>28</v>
      </c>
      <c r="N14" s="13">
        <f t="shared" si="21"/>
        <v>27</v>
      </c>
      <c r="O14" s="13">
        <f t="shared" si="22"/>
        <v>17</v>
      </c>
      <c r="P14" s="13">
        <f t="shared" si="23"/>
        <v>11</v>
      </c>
      <c r="Q14" s="13">
        <f t="shared" si="24"/>
        <v>10</v>
      </c>
      <c r="R14" s="13">
        <f t="shared" si="25"/>
        <v>17</v>
      </c>
      <c r="S14" s="13">
        <f t="shared" si="26"/>
        <v>28.199999999999989</v>
      </c>
      <c r="T14" s="13">
        <f t="shared" si="27"/>
        <v>12</v>
      </c>
      <c r="U14">
        <v>196.7</v>
      </c>
      <c r="V14">
        <v>118</v>
      </c>
      <c r="W14" s="13">
        <f t="shared" si="28"/>
        <v>19</v>
      </c>
      <c r="X14">
        <v>69</v>
      </c>
      <c r="Y14">
        <v>217</v>
      </c>
      <c r="Z14">
        <v>188</v>
      </c>
      <c r="AA14">
        <v>188</v>
      </c>
      <c r="AB14">
        <v>242</v>
      </c>
      <c r="AC14">
        <v>233</v>
      </c>
      <c r="AD14">
        <v>144</v>
      </c>
      <c r="AE14">
        <v>139</v>
      </c>
      <c r="AF14">
        <v>146</v>
      </c>
      <c r="AG14">
        <v>181</v>
      </c>
      <c r="AH14" s="13">
        <v>329</v>
      </c>
      <c r="AJ14">
        <v>49.8</v>
      </c>
      <c r="AK14" s="13">
        <v>45.6</v>
      </c>
      <c r="AL14" s="24">
        <v>99.347678811241678</v>
      </c>
      <c r="AN14" t="s">
        <v>129</v>
      </c>
      <c r="AO14" t="s">
        <v>100</v>
      </c>
    </row>
    <row r="15" spans="1:43" x14ac:dyDescent="0.35">
      <c r="A15" s="48">
        <f t="shared" si="17"/>
        <v>13</v>
      </c>
      <c r="B15" s="50">
        <f>IF(Assumptions!E$22="FMA",'Emission factors'!I15,IF(Assumptions!E$26='Harvest calc'!$J$16,'Emission factors'!J15,IF(Assumptions!E$26='Harvest calc'!$J$17,'Emission factors'!K15,IF(Assumptions!E$26='Harvest calc'!$J$18,'Emission factors'!L15,IF(Assumptions!E$26='Harvest calc'!$J$19,'Emission factors'!M15,IF(Assumptions!E$26='Harvest calc'!$J$20,'Emission factors'!N15,IF(Assumptions!E$26='Harvest calc'!$J$21,'Emission factors'!O15,IF(Assumptions!E$26='Harvest calc'!$J$22,'Emission factors'!P15,IF(Assumptions!E$26='Harvest calc'!$J$23,'Emission factors'!Q15,IF(Assumptions!E$26='Harvest calc'!$J$24,'Emission factors'!R15))))))))))</f>
        <v>8</v>
      </c>
      <c r="C15" s="13">
        <f>IF(Assumptions!E$23="Default",'Emission factors'!E15,IF(Assumptions!E$23="FMA",'Emission factors'!F15,G15))</f>
        <v>11.200000000000003</v>
      </c>
      <c r="D15" s="13"/>
      <c r="E15">
        <f t="shared" si="4"/>
        <v>11.200000000000003</v>
      </c>
      <c r="F15">
        <f t="shared" si="5"/>
        <v>9.5999999999999943</v>
      </c>
      <c r="G15" s="24">
        <f t="shared" si="6"/>
        <v>11.797393364808343</v>
      </c>
      <c r="I15" s="13">
        <f t="shared" si="7"/>
        <v>38.800000000000011</v>
      </c>
      <c r="J15" s="13">
        <f t="shared" si="18"/>
        <v>34</v>
      </c>
      <c r="K15" s="13">
        <f t="shared" si="19"/>
        <v>31</v>
      </c>
      <c r="L15" s="13">
        <f t="shared" si="20"/>
        <v>27</v>
      </c>
      <c r="M15" s="13">
        <f t="shared" si="11"/>
        <v>32</v>
      </c>
      <c r="N15" s="13">
        <f t="shared" si="21"/>
        <v>31</v>
      </c>
      <c r="O15" s="13">
        <f t="shared" si="22"/>
        <v>21</v>
      </c>
      <c r="P15" s="13">
        <f t="shared" si="23"/>
        <v>8</v>
      </c>
      <c r="Q15" s="13">
        <f t="shared" si="24"/>
        <v>16</v>
      </c>
      <c r="R15" s="13">
        <f t="shared" si="25"/>
        <v>21</v>
      </c>
      <c r="S15" s="13">
        <f t="shared" si="26"/>
        <v>29.700000000000017</v>
      </c>
      <c r="T15" s="13">
        <f t="shared" si="27"/>
        <v>14</v>
      </c>
      <c r="U15">
        <v>226.4</v>
      </c>
      <c r="V15">
        <v>132</v>
      </c>
      <c r="W15" s="13">
        <f t="shared" si="28"/>
        <v>21</v>
      </c>
      <c r="X15">
        <v>90</v>
      </c>
      <c r="Y15">
        <v>249</v>
      </c>
      <c r="Z15">
        <v>218</v>
      </c>
      <c r="AA15">
        <v>212</v>
      </c>
      <c r="AB15">
        <v>270</v>
      </c>
      <c r="AC15">
        <v>260</v>
      </c>
      <c r="AD15">
        <v>161</v>
      </c>
      <c r="AE15">
        <v>150</v>
      </c>
      <c r="AF15">
        <v>156</v>
      </c>
      <c r="AG15">
        <v>198</v>
      </c>
      <c r="AH15" s="13">
        <v>366.5</v>
      </c>
      <c r="AJ15">
        <v>60.3</v>
      </c>
      <c r="AK15" s="13">
        <v>53.7</v>
      </c>
      <c r="AL15" s="24">
        <v>110.89801547824999</v>
      </c>
      <c r="AN15" t="s">
        <v>130</v>
      </c>
      <c r="AO15" t="s">
        <v>131</v>
      </c>
    </row>
    <row r="16" spans="1:43" x14ac:dyDescent="0.35">
      <c r="A16" s="48">
        <f t="shared" si="17"/>
        <v>14</v>
      </c>
      <c r="B16" s="50">
        <f>IF(Assumptions!E$22="FMA",'Emission factors'!I16,IF(Assumptions!E$26='Harvest calc'!$J$16,'Emission factors'!J16,IF(Assumptions!E$26='Harvest calc'!$J$17,'Emission factors'!K16,IF(Assumptions!E$26='Harvest calc'!$J$18,'Emission factors'!L16,IF(Assumptions!E$26='Harvest calc'!$J$19,'Emission factors'!M16,IF(Assumptions!E$26='Harvest calc'!$J$20,'Emission factors'!N16,IF(Assumptions!E$26='Harvest calc'!$J$21,'Emission factors'!O16,IF(Assumptions!E$26='Harvest calc'!$J$22,'Emission factors'!P16,IF(Assumptions!E$26='Harvest calc'!$J$23,'Emission factors'!Q16,IF(Assumptions!E$26='Harvest calc'!$J$24,'Emission factors'!R16))))))))))</f>
        <v>12</v>
      </c>
      <c r="C16" s="13">
        <f>IF(Assumptions!E$23="Default",'Emission factors'!E16,IF(Assumptions!E$23="FMA",'Emission factors'!F16,G16))</f>
        <v>11.799999999999997</v>
      </c>
      <c r="D16" s="13"/>
      <c r="E16">
        <f t="shared" si="4"/>
        <v>11.799999999999997</v>
      </c>
      <c r="F16">
        <f t="shared" si="5"/>
        <v>9.9000000000000057</v>
      </c>
      <c r="G16" s="24">
        <f t="shared" si="6"/>
        <v>11.979347937608296</v>
      </c>
      <c r="I16" s="13">
        <f t="shared" si="7"/>
        <v>40.399999999999977</v>
      </c>
      <c r="J16" s="13">
        <f t="shared" si="18"/>
        <v>37</v>
      </c>
      <c r="K16" s="13">
        <f t="shared" si="19"/>
        <v>34</v>
      </c>
      <c r="L16" s="13">
        <f t="shared" si="20"/>
        <v>30</v>
      </c>
      <c r="M16" s="13">
        <f t="shared" si="11"/>
        <v>34</v>
      </c>
      <c r="N16" s="13">
        <f t="shared" si="21"/>
        <v>34</v>
      </c>
      <c r="O16" s="13">
        <f t="shared" si="22"/>
        <v>24</v>
      </c>
      <c r="P16" s="13">
        <f t="shared" si="23"/>
        <v>12</v>
      </c>
      <c r="Q16" s="13">
        <f t="shared" si="24"/>
        <v>20</v>
      </c>
      <c r="R16" s="13">
        <f t="shared" si="25"/>
        <v>25</v>
      </c>
      <c r="S16" s="13">
        <f t="shared" si="26"/>
        <v>31.099999999999994</v>
      </c>
      <c r="T16" s="13">
        <f t="shared" si="27"/>
        <v>15</v>
      </c>
      <c r="U16">
        <v>257.5</v>
      </c>
      <c r="V16">
        <v>147</v>
      </c>
      <c r="W16" s="13">
        <f t="shared" si="28"/>
        <v>23</v>
      </c>
      <c r="X16">
        <v>113</v>
      </c>
      <c r="Y16">
        <v>283</v>
      </c>
      <c r="Z16">
        <v>249</v>
      </c>
      <c r="AA16">
        <v>239</v>
      </c>
      <c r="AB16">
        <v>302</v>
      </c>
      <c r="AC16">
        <v>291</v>
      </c>
      <c r="AD16">
        <v>182</v>
      </c>
      <c r="AE16">
        <v>158</v>
      </c>
      <c r="AF16">
        <v>172</v>
      </c>
      <c r="AG16">
        <v>219</v>
      </c>
      <c r="AH16" s="13">
        <v>405.3</v>
      </c>
      <c r="AJ16">
        <v>71.5</v>
      </c>
      <c r="AK16" s="13">
        <v>63.3</v>
      </c>
      <c r="AL16" s="24">
        <v>122.69540884305833</v>
      </c>
    </row>
    <row r="17" spans="1:38" x14ac:dyDescent="0.35">
      <c r="A17" s="48">
        <f t="shared" si="17"/>
        <v>15</v>
      </c>
      <c r="B17" s="50">
        <f>IF(Assumptions!E$22="FMA",'Emission factors'!I17,IF(Assumptions!E$26='Harvest calc'!$J$16,'Emission factors'!J17,IF(Assumptions!E$26='Harvest calc'!$J$17,'Emission factors'!K17,IF(Assumptions!E$26='Harvest calc'!$J$18,'Emission factors'!L17,IF(Assumptions!E$26='Harvest calc'!$J$19,'Emission factors'!M17,IF(Assumptions!E$26='Harvest calc'!$J$20,'Emission factors'!N17,IF(Assumptions!E$26='Harvest calc'!$J$21,'Emission factors'!O17,IF(Assumptions!E$26='Harvest calc'!$J$22,'Emission factors'!P17,IF(Assumptions!E$26='Harvest calc'!$J$23,'Emission factors'!Q17,IF(Assumptions!E$26='Harvest calc'!$J$24,'Emission factors'!R17))))))))))</f>
        <v>16</v>
      </c>
      <c r="C17" s="13">
        <f>IF(Assumptions!E$23="Default",'Emission factors'!E17,IF(Assumptions!E$23="FMA",'Emission factors'!F17,G17))</f>
        <v>12.200000000000003</v>
      </c>
      <c r="D17" s="13"/>
      <c r="E17">
        <f t="shared" si="4"/>
        <v>12.200000000000003</v>
      </c>
      <c r="F17">
        <f t="shared" si="5"/>
        <v>10.399999999999991</v>
      </c>
      <c r="G17" s="24">
        <f t="shared" si="6"/>
        <v>12.096200385408395</v>
      </c>
      <c r="I17" s="13">
        <f t="shared" si="7"/>
        <v>41.5</v>
      </c>
      <c r="J17" s="13">
        <f t="shared" si="18"/>
        <v>37</v>
      </c>
      <c r="K17" s="13">
        <f t="shared" si="19"/>
        <v>35</v>
      </c>
      <c r="L17" s="13">
        <f t="shared" si="20"/>
        <v>31</v>
      </c>
      <c r="M17" s="13">
        <f t="shared" si="11"/>
        <v>36</v>
      </c>
      <c r="N17" s="13">
        <f t="shared" si="21"/>
        <v>36</v>
      </c>
      <c r="O17" s="13">
        <f t="shared" si="22"/>
        <v>26</v>
      </c>
      <c r="P17" s="13">
        <f t="shared" si="23"/>
        <v>16</v>
      </c>
      <c r="Q17" s="13">
        <f t="shared" si="24"/>
        <v>22</v>
      </c>
      <c r="R17" s="13">
        <f t="shared" si="25"/>
        <v>28</v>
      </c>
      <c r="S17" s="13">
        <f t="shared" si="26"/>
        <v>32.300000000000011</v>
      </c>
      <c r="T17" s="13">
        <f t="shared" si="27"/>
        <v>16</v>
      </c>
      <c r="U17">
        <v>289.8</v>
      </c>
      <c r="V17">
        <v>163</v>
      </c>
      <c r="W17" s="13">
        <f t="shared" si="28"/>
        <v>25</v>
      </c>
      <c r="X17">
        <v>138</v>
      </c>
      <c r="Y17">
        <v>320</v>
      </c>
      <c r="Z17">
        <v>283</v>
      </c>
      <c r="AA17">
        <v>269</v>
      </c>
      <c r="AB17">
        <v>336</v>
      </c>
      <c r="AC17">
        <v>325</v>
      </c>
      <c r="AD17">
        <v>206</v>
      </c>
      <c r="AE17">
        <v>170</v>
      </c>
      <c r="AF17">
        <v>192</v>
      </c>
      <c r="AG17">
        <v>244</v>
      </c>
      <c r="AH17" s="13">
        <v>445.7</v>
      </c>
      <c r="AJ17">
        <v>83.3</v>
      </c>
      <c r="AK17" s="13">
        <v>73.2</v>
      </c>
      <c r="AL17" s="24">
        <v>134.67475678066663</v>
      </c>
    </row>
    <row r="18" spans="1:38" x14ac:dyDescent="0.35">
      <c r="A18" s="48">
        <f t="shared" si="17"/>
        <v>16</v>
      </c>
      <c r="B18" s="50">
        <f>IF(Assumptions!E$22="FMA",'Emission factors'!I18,IF(Assumptions!E$26='Harvest calc'!$J$16,'Emission factors'!J18,IF(Assumptions!E$26='Harvest calc'!$J$17,'Emission factors'!K18,IF(Assumptions!E$26='Harvest calc'!$J$18,'Emission factors'!L18,IF(Assumptions!E$26='Harvest calc'!$J$19,'Emission factors'!M18,IF(Assumptions!E$26='Harvest calc'!$J$20,'Emission factors'!N18,IF(Assumptions!E$26='Harvest calc'!$J$21,'Emission factors'!O18,IF(Assumptions!E$26='Harvest calc'!$J$22,'Emission factors'!P18,IF(Assumptions!E$26='Harvest calc'!$J$23,'Emission factors'!Q18,IF(Assumptions!E$26='Harvest calc'!$J$24,'Emission factors'!R18))))))))))</f>
        <v>19</v>
      </c>
      <c r="C18" s="13">
        <f>IF(Assumptions!E$23="Default",'Emission factors'!E18,IF(Assumptions!E$23="FMA",'Emission factors'!F18,G18))</f>
        <v>12.599999999999994</v>
      </c>
      <c r="D18" s="13"/>
      <c r="E18">
        <f t="shared" si="4"/>
        <v>12.599999999999994</v>
      </c>
      <c r="F18">
        <f t="shared" si="5"/>
        <v>10.700000000000003</v>
      </c>
      <c r="G18" s="24">
        <f t="shared" si="6"/>
        <v>12.147950708208299</v>
      </c>
      <c r="I18" s="13">
        <f t="shared" si="7"/>
        <v>42.400000000000034</v>
      </c>
      <c r="J18" s="13">
        <f t="shared" si="18"/>
        <v>39</v>
      </c>
      <c r="K18" s="13">
        <f t="shared" si="19"/>
        <v>36</v>
      </c>
      <c r="L18" s="13">
        <f t="shared" si="20"/>
        <v>33</v>
      </c>
      <c r="M18" s="13">
        <f t="shared" si="11"/>
        <v>38</v>
      </c>
      <c r="N18" s="13">
        <f t="shared" si="21"/>
        <v>37</v>
      </c>
      <c r="O18" s="13">
        <f t="shared" si="22"/>
        <v>28</v>
      </c>
      <c r="P18" s="13">
        <f t="shared" si="23"/>
        <v>19</v>
      </c>
      <c r="Q18" s="13">
        <f t="shared" si="24"/>
        <v>26</v>
      </c>
      <c r="R18" s="13">
        <f t="shared" si="25"/>
        <v>30</v>
      </c>
      <c r="S18" s="13">
        <f t="shared" si="26"/>
        <v>33.5</v>
      </c>
      <c r="T18" s="13">
        <f t="shared" si="27"/>
        <v>17</v>
      </c>
      <c r="U18">
        <v>323.3</v>
      </c>
      <c r="V18">
        <v>180</v>
      </c>
      <c r="W18" s="13">
        <f t="shared" si="28"/>
        <v>27</v>
      </c>
      <c r="X18">
        <v>165</v>
      </c>
      <c r="Y18">
        <v>357</v>
      </c>
      <c r="Z18">
        <v>318</v>
      </c>
      <c r="AA18">
        <v>300</v>
      </c>
      <c r="AB18">
        <v>372</v>
      </c>
      <c r="AC18">
        <v>361</v>
      </c>
      <c r="AD18">
        <v>232</v>
      </c>
      <c r="AE18">
        <v>186</v>
      </c>
      <c r="AF18">
        <v>214</v>
      </c>
      <c r="AG18">
        <v>272</v>
      </c>
      <c r="AH18" s="13">
        <v>487.2</v>
      </c>
      <c r="AJ18">
        <v>95.5</v>
      </c>
      <c r="AK18" s="13">
        <v>83.6</v>
      </c>
      <c r="AL18" s="24">
        <v>146.77095716607502</v>
      </c>
    </row>
    <row r="19" spans="1:38" x14ac:dyDescent="0.35">
      <c r="A19" s="48">
        <f t="shared" si="17"/>
        <v>17</v>
      </c>
      <c r="B19" s="50">
        <f>IF(Assumptions!E$22="FMA",'Emission factors'!I19,IF(Assumptions!E$26='Harvest calc'!$J$16,'Emission factors'!J19,IF(Assumptions!E$26='Harvest calc'!$J$17,'Emission factors'!K19,IF(Assumptions!E$26='Harvest calc'!$J$18,'Emission factors'!L19,IF(Assumptions!E$26='Harvest calc'!$J$19,'Emission factors'!M19,IF(Assumptions!E$26='Harvest calc'!$J$20,'Emission factors'!N19,IF(Assumptions!E$26='Harvest calc'!$J$21,'Emission factors'!O19,IF(Assumptions!E$26='Harvest calc'!$J$22,'Emission factors'!P19,IF(Assumptions!E$26='Harvest calc'!$J$23,'Emission factors'!Q19,IF(Assumptions!E$26='Harvest calc'!$J$24,'Emission factors'!R19))))))))))</f>
        <v>21</v>
      </c>
      <c r="C19" s="13">
        <f>IF(Assumptions!E$23="Default",'Emission factors'!E19,IF(Assumptions!E$23="FMA",'Emission factors'!F19,G19))</f>
        <v>12.700000000000003</v>
      </c>
      <c r="D19" s="13"/>
      <c r="E19">
        <f t="shared" si="4"/>
        <v>12.700000000000003</v>
      </c>
      <c r="F19">
        <f t="shared" si="5"/>
        <v>11</v>
      </c>
      <c r="G19" s="24">
        <f t="shared" si="6"/>
        <v>12.134598906008335</v>
      </c>
      <c r="I19" s="13">
        <f t="shared" si="7"/>
        <v>43.199999999999932</v>
      </c>
      <c r="J19" s="13">
        <f t="shared" si="18"/>
        <v>39</v>
      </c>
      <c r="K19" s="13">
        <f t="shared" si="19"/>
        <v>37</v>
      </c>
      <c r="L19" s="13">
        <f t="shared" si="20"/>
        <v>34</v>
      </c>
      <c r="M19" s="13">
        <f t="shared" si="20"/>
        <v>37</v>
      </c>
      <c r="N19" s="13">
        <f t="shared" si="21"/>
        <v>38</v>
      </c>
      <c r="O19" s="13">
        <f t="shared" si="22"/>
        <v>30</v>
      </c>
      <c r="P19" s="13">
        <f t="shared" si="23"/>
        <v>21</v>
      </c>
      <c r="Q19" s="13">
        <f t="shared" si="24"/>
        <v>28</v>
      </c>
      <c r="R19" s="13">
        <f t="shared" si="25"/>
        <v>32</v>
      </c>
      <c r="S19" s="13">
        <f t="shared" si="26"/>
        <v>34.399999999999977</v>
      </c>
      <c r="T19" s="13">
        <f t="shared" si="27"/>
        <v>17</v>
      </c>
      <c r="U19">
        <v>357.7</v>
      </c>
      <c r="V19">
        <v>197</v>
      </c>
      <c r="W19" s="13">
        <f t="shared" si="28"/>
        <v>28</v>
      </c>
      <c r="X19">
        <v>193</v>
      </c>
      <c r="Y19">
        <v>396</v>
      </c>
      <c r="Z19">
        <v>354</v>
      </c>
      <c r="AA19">
        <v>333</v>
      </c>
      <c r="AB19">
        <v>410</v>
      </c>
      <c r="AC19">
        <v>398</v>
      </c>
      <c r="AD19">
        <v>260</v>
      </c>
      <c r="AE19">
        <v>205</v>
      </c>
      <c r="AF19">
        <v>240</v>
      </c>
      <c r="AG19">
        <v>302</v>
      </c>
      <c r="AH19" s="13">
        <v>529.6</v>
      </c>
      <c r="AJ19">
        <v>108.1</v>
      </c>
      <c r="AK19" s="13">
        <v>94.3</v>
      </c>
      <c r="AL19" s="24">
        <v>158.91890787428332</v>
      </c>
    </row>
    <row r="20" spans="1:38" x14ac:dyDescent="0.35">
      <c r="A20" s="48">
        <f t="shared" si="17"/>
        <v>18</v>
      </c>
      <c r="B20" s="50">
        <f>IF(Assumptions!E$22="FMA",'Emission factors'!I20,IF(Assumptions!E$26='Harvest calc'!$J$16,'Emission factors'!J20,IF(Assumptions!E$26='Harvest calc'!$J$17,'Emission factors'!K20,IF(Assumptions!E$26='Harvest calc'!$J$18,'Emission factors'!L20,IF(Assumptions!E$26='Harvest calc'!$J$19,'Emission factors'!M20,IF(Assumptions!E$26='Harvest calc'!$J$20,'Emission factors'!N20,IF(Assumptions!E$26='Harvest calc'!$J$21,'Emission factors'!O20,IF(Assumptions!E$26='Harvest calc'!$J$22,'Emission factors'!P20,IF(Assumptions!E$26='Harvest calc'!$J$23,'Emission factors'!Q20,IF(Assumptions!E$26='Harvest calc'!$J$24,'Emission factors'!R20))))))))))</f>
        <v>23</v>
      </c>
      <c r="C20" s="13">
        <f>IF(Assumptions!E$23="Default",'Emission factors'!E20,IF(Assumptions!E$23="FMA",'Emission factors'!F20,G20))</f>
        <v>12.799999999999997</v>
      </c>
      <c r="D20" s="13"/>
      <c r="E20">
        <f t="shared" si="4"/>
        <v>12.799999999999997</v>
      </c>
      <c r="F20">
        <f t="shared" si="5"/>
        <v>11.200000000000003</v>
      </c>
      <c r="G20" s="24">
        <f t="shared" si="6"/>
        <v>12.056144978808334</v>
      </c>
      <c r="I20" s="13">
        <f t="shared" si="7"/>
        <v>43.600000000000023</v>
      </c>
      <c r="J20" s="13">
        <f t="shared" si="18"/>
        <v>38</v>
      </c>
      <c r="K20" s="13">
        <f t="shared" si="19"/>
        <v>37</v>
      </c>
      <c r="L20" s="13">
        <f t="shared" si="20"/>
        <v>34</v>
      </c>
      <c r="M20" s="13">
        <f t="shared" si="20"/>
        <v>38</v>
      </c>
      <c r="N20" s="13">
        <f t="shared" si="21"/>
        <v>37</v>
      </c>
      <c r="O20" s="13">
        <f t="shared" si="22"/>
        <v>32</v>
      </c>
      <c r="P20" s="13">
        <f t="shared" si="23"/>
        <v>23</v>
      </c>
      <c r="Q20" s="13">
        <f t="shared" si="24"/>
        <v>30</v>
      </c>
      <c r="R20" s="13">
        <f t="shared" si="25"/>
        <v>33</v>
      </c>
      <c r="S20" s="13">
        <f t="shared" si="26"/>
        <v>35.400000000000034</v>
      </c>
      <c r="T20" s="13">
        <f t="shared" si="27"/>
        <v>17</v>
      </c>
      <c r="U20">
        <v>393.1</v>
      </c>
      <c r="V20">
        <v>214</v>
      </c>
      <c r="W20" s="13">
        <f t="shared" si="28"/>
        <v>29</v>
      </c>
      <c r="X20">
        <v>222</v>
      </c>
      <c r="Y20">
        <v>435</v>
      </c>
      <c r="Z20">
        <v>391</v>
      </c>
      <c r="AA20">
        <v>367</v>
      </c>
      <c r="AB20">
        <v>447</v>
      </c>
      <c r="AC20">
        <v>436</v>
      </c>
      <c r="AD20">
        <v>290</v>
      </c>
      <c r="AE20">
        <v>226</v>
      </c>
      <c r="AF20">
        <v>268</v>
      </c>
      <c r="AG20">
        <v>334</v>
      </c>
      <c r="AH20" s="13">
        <v>572.79999999999995</v>
      </c>
      <c r="AJ20">
        <v>120.8</v>
      </c>
      <c r="AK20" s="13">
        <v>105.3</v>
      </c>
      <c r="AL20" s="24">
        <v>171.05350678029166</v>
      </c>
    </row>
    <row r="21" spans="1:38" x14ac:dyDescent="0.35">
      <c r="A21" s="48">
        <f t="shared" si="17"/>
        <v>19</v>
      </c>
      <c r="B21" s="50">
        <f>IF(Assumptions!E$22="FMA",'Emission factors'!I21,IF(Assumptions!E$26='Harvest calc'!$J$16,'Emission factors'!J21,IF(Assumptions!E$26='Harvest calc'!$J$17,'Emission factors'!K21,IF(Assumptions!E$26='Harvest calc'!$J$18,'Emission factors'!L21,IF(Assumptions!E$26='Harvest calc'!$J$19,'Emission factors'!M21,IF(Assumptions!E$26='Harvest calc'!$J$20,'Emission factors'!N21,IF(Assumptions!E$26='Harvest calc'!$J$21,'Emission factors'!O21,IF(Assumptions!E$26='Harvest calc'!$J$22,'Emission factors'!P21,IF(Assumptions!E$26='Harvest calc'!$J$23,'Emission factors'!Q21,IF(Assumptions!E$26='Harvest calc'!$J$24,'Emission factors'!R21))))))))))</f>
        <v>25</v>
      </c>
      <c r="C21" s="13">
        <f>IF(Assumptions!E$23="Default",'Emission factors'!E21,IF(Assumptions!E$23="FMA",'Emission factors'!F21,G21))</f>
        <v>12.700000000000017</v>
      </c>
      <c r="D21" s="13"/>
      <c r="E21">
        <f t="shared" si="4"/>
        <v>12.700000000000017</v>
      </c>
      <c r="F21">
        <f t="shared" si="5"/>
        <v>11.200000000000003</v>
      </c>
      <c r="G21" s="24">
        <f t="shared" si="6"/>
        <v>11.91258892660835</v>
      </c>
      <c r="I21" s="13">
        <f t="shared" si="7"/>
        <v>43.700000000000045</v>
      </c>
      <c r="J21" s="13">
        <f t="shared" si="18"/>
        <v>38</v>
      </c>
      <c r="K21" s="13">
        <f t="shared" si="19"/>
        <v>36</v>
      </c>
      <c r="L21" s="13">
        <f t="shared" si="20"/>
        <v>34</v>
      </c>
      <c r="M21" s="13">
        <f t="shared" si="20"/>
        <v>37</v>
      </c>
      <c r="N21" s="13">
        <f t="shared" si="21"/>
        <v>37</v>
      </c>
      <c r="O21" s="13">
        <f t="shared" si="22"/>
        <v>31</v>
      </c>
      <c r="P21" s="13">
        <f t="shared" si="23"/>
        <v>25</v>
      </c>
      <c r="Q21" s="13">
        <f t="shared" si="24"/>
        <v>31</v>
      </c>
      <c r="R21" s="13">
        <f t="shared" si="25"/>
        <v>34</v>
      </c>
      <c r="S21" s="13">
        <f t="shared" si="26"/>
        <v>35.799999999999955</v>
      </c>
      <c r="T21" s="13">
        <f t="shared" si="27"/>
        <v>18</v>
      </c>
      <c r="U21">
        <v>428.9</v>
      </c>
      <c r="V21">
        <v>232</v>
      </c>
      <c r="W21" s="13">
        <f t="shared" si="28"/>
        <v>31</v>
      </c>
      <c r="X21">
        <v>253</v>
      </c>
      <c r="Y21">
        <v>473</v>
      </c>
      <c r="Z21">
        <v>428</v>
      </c>
      <c r="AA21">
        <v>401</v>
      </c>
      <c r="AB21">
        <v>485</v>
      </c>
      <c r="AC21">
        <v>473</v>
      </c>
      <c r="AD21">
        <v>322</v>
      </c>
      <c r="AE21">
        <v>249</v>
      </c>
      <c r="AF21">
        <v>298</v>
      </c>
      <c r="AG21">
        <v>367</v>
      </c>
      <c r="AH21" s="13">
        <v>616.4</v>
      </c>
      <c r="AJ21">
        <v>133.6</v>
      </c>
      <c r="AK21" s="13">
        <v>116.5</v>
      </c>
      <c r="AL21" s="24">
        <v>183.10965175909999</v>
      </c>
    </row>
    <row r="22" spans="1:38" x14ac:dyDescent="0.35">
      <c r="A22" s="48">
        <f t="shared" si="17"/>
        <v>20</v>
      </c>
      <c r="B22" s="50">
        <f>IF(Assumptions!E$22="FMA",'Emission factors'!I22,IF(Assumptions!E$26='Harvest calc'!$J$16,'Emission factors'!J22,IF(Assumptions!E$26='Harvest calc'!$J$17,'Emission factors'!K22,IF(Assumptions!E$26='Harvest calc'!$J$18,'Emission factors'!L22,IF(Assumptions!E$26='Harvest calc'!$J$19,'Emission factors'!M22,IF(Assumptions!E$26='Harvest calc'!$J$20,'Emission factors'!N22,IF(Assumptions!E$26='Harvest calc'!$J$21,'Emission factors'!O22,IF(Assumptions!E$26='Harvest calc'!$J$22,'Emission factors'!P22,IF(Assumptions!E$26='Harvest calc'!$J$23,'Emission factors'!Q22,IF(Assumptions!E$26='Harvest calc'!$J$24,'Emission factors'!R22))))))))))</f>
        <v>26</v>
      </c>
      <c r="C22" s="13">
        <f>IF(Assumptions!E$23="Default",'Emission factors'!E22,IF(Assumptions!E$23="FMA",'Emission factors'!F22,G22))</f>
        <v>12.399999999999977</v>
      </c>
      <c r="D22" s="13"/>
      <c r="E22">
        <f t="shared" si="4"/>
        <v>12.399999999999977</v>
      </c>
      <c r="F22">
        <f t="shared" si="5"/>
        <v>10.999999999999986</v>
      </c>
      <c r="G22" s="24">
        <f t="shared" si="6"/>
        <v>11.7039307494083</v>
      </c>
      <c r="I22" s="13">
        <f t="shared" si="7"/>
        <v>43.199999999999932</v>
      </c>
      <c r="J22" s="13">
        <f t="shared" si="18"/>
        <v>38</v>
      </c>
      <c r="K22" s="13">
        <f t="shared" si="19"/>
        <v>36</v>
      </c>
      <c r="L22" s="13">
        <f t="shared" si="20"/>
        <v>33</v>
      </c>
      <c r="M22" s="13">
        <f t="shared" si="20"/>
        <v>36</v>
      </c>
      <c r="N22" s="13">
        <f t="shared" si="21"/>
        <v>37</v>
      </c>
      <c r="O22" s="13">
        <f t="shared" si="22"/>
        <v>33</v>
      </c>
      <c r="P22" s="13">
        <f t="shared" si="23"/>
        <v>26</v>
      </c>
      <c r="Q22" s="13">
        <f t="shared" si="24"/>
        <v>32</v>
      </c>
      <c r="R22" s="13">
        <f t="shared" si="25"/>
        <v>34</v>
      </c>
      <c r="S22" s="13">
        <f t="shared" si="26"/>
        <v>36.200000000000045</v>
      </c>
      <c r="T22" s="13">
        <f t="shared" si="27"/>
        <v>17</v>
      </c>
      <c r="U22">
        <v>465.1</v>
      </c>
      <c r="V22">
        <v>249</v>
      </c>
      <c r="W22" s="13">
        <f t="shared" si="28"/>
        <v>15</v>
      </c>
      <c r="X22">
        <v>268</v>
      </c>
      <c r="Y22">
        <v>511</v>
      </c>
      <c r="Z22">
        <v>464</v>
      </c>
      <c r="AA22">
        <v>435</v>
      </c>
      <c r="AB22">
        <v>522</v>
      </c>
      <c r="AC22">
        <v>510</v>
      </c>
      <c r="AD22">
        <v>353</v>
      </c>
      <c r="AE22">
        <v>274</v>
      </c>
      <c r="AF22">
        <v>329</v>
      </c>
      <c r="AG22">
        <v>401</v>
      </c>
      <c r="AH22" s="13">
        <v>660.1</v>
      </c>
      <c r="AJ22">
        <v>146.30000000000001</v>
      </c>
      <c r="AK22" s="13">
        <v>127.7</v>
      </c>
      <c r="AL22" s="24">
        <v>195.02224068570834</v>
      </c>
    </row>
    <row r="23" spans="1:38" x14ac:dyDescent="0.35">
      <c r="A23" s="48">
        <f t="shared" si="17"/>
        <v>21</v>
      </c>
      <c r="B23" s="50">
        <f>IF(Assumptions!E$22="FMA",'Emission factors'!I23,IF(Assumptions!E$26='Harvest calc'!$J$16,'Emission factors'!J23,IF(Assumptions!E$26='Harvest calc'!$J$17,'Emission factors'!K23,IF(Assumptions!E$26='Harvest calc'!$J$18,'Emission factors'!L23,IF(Assumptions!E$26='Harvest calc'!$J$19,'Emission factors'!M23,IF(Assumptions!E$26='Harvest calc'!$J$20,'Emission factors'!N23,IF(Assumptions!E$26='Harvest calc'!$J$21,'Emission factors'!O23,IF(Assumptions!E$26='Harvest calc'!$J$22,'Emission factors'!P23,IF(Assumptions!E$26='Harvest calc'!$J$23,'Emission factors'!Q23,IF(Assumptions!E$26='Harvest calc'!$J$24,'Emission factors'!R23))))))))))</f>
        <v>26</v>
      </c>
      <c r="C23" s="13">
        <f>IF(Assumptions!E$23="Default",'Emission factors'!E23,IF(Assumptions!E$23="FMA",'Emission factors'!F23,G23))</f>
        <v>12.200000000000017</v>
      </c>
      <c r="D23" s="13"/>
      <c r="E23">
        <f t="shared" si="4"/>
        <v>12.200000000000017</v>
      </c>
      <c r="F23">
        <f t="shared" si="5"/>
        <v>10</v>
      </c>
      <c r="G23" s="24">
        <f t="shared" si="6"/>
        <v>11.430170447208383</v>
      </c>
      <c r="I23" s="13">
        <f t="shared" si="7"/>
        <v>43.100000000000023</v>
      </c>
      <c r="J23" s="13">
        <f t="shared" si="18"/>
        <v>36</v>
      </c>
      <c r="K23" s="13">
        <f t="shared" si="19"/>
        <v>36</v>
      </c>
      <c r="L23" s="13">
        <f t="shared" si="20"/>
        <v>33</v>
      </c>
      <c r="M23" s="13">
        <f t="shared" si="20"/>
        <v>36</v>
      </c>
      <c r="N23" s="13">
        <f t="shared" si="21"/>
        <v>35</v>
      </c>
      <c r="O23" s="13">
        <f t="shared" si="22"/>
        <v>32</v>
      </c>
      <c r="P23" s="13">
        <f t="shared" si="23"/>
        <v>26</v>
      </c>
      <c r="Q23" s="13">
        <f t="shared" si="24"/>
        <v>33</v>
      </c>
      <c r="R23" s="13">
        <f t="shared" si="25"/>
        <v>35</v>
      </c>
      <c r="S23" s="13">
        <f t="shared" si="26"/>
        <v>36.799999999999955</v>
      </c>
      <c r="T23" s="13">
        <f t="shared" si="27"/>
        <v>17</v>
      </c>
      <c r="U23">
        <v>501.9</v>
      </c>
      <c r="V23">
        <v>266</v>
      </c>
      <c r="W23" s="13">
        <f t="shared" si="28"/>
        <v>18</v>
      </c>
      <c r="X23">
        <v>286</v>
      </c>
      <c r="Y23">
        <v>549</v>
      </c>
      <c r="Z23">
        <v>500</v>
      </c>
      <c r="AA23">
        <v>468</v>
      </c>
      <c r="AB23">
        <v>558</v>
      </c>
      <c r="AC23">
        <v>547</v>
      </c>
      <c r="AD23">
        <v>386</v>
      </c>
      <c r="AE23">
        <v>300</v>
      </c>
      <c r="AF23">
        <v>361</v>
      </c>
      <c r="AG23">
        <v>435</v>
      </c>
      <c r="AH23" s="13">
        <v>703.3</v>
      </c>
      <c r="AJ23">
        <v>158.69999999999999</v>
      </c>
      <c r="AK23" s="13">
        <v>138.69999999999999</v>
      </c>
      <c r="AL23" s="24">
        <v>206.72617143511664</v>
      </c>
    </row>
    <row r="24" spans="1:38" x14ac:dyDescent="0.35">
      <c r="A24" s="48">
        <f t="shared" si="17"/>
        <v>22</v>
      </c>
      <c r="B24" s="50">
        <f>IF(Assumptions!E$22="FMA",'Emission factors'!I24,IF(Assumptions!E$26='Harvest calc'!$J$16,'Emission factors'!J24,IF(Assumptions!E$26='Harvest calc'!$J$17,'Emission factors'!K24,IF(Assumptions!E$26='Harvest calc'!$J$18,'Emission factors'!L24,IF(Assumptions!E$26='Harvest calc'!$J$19,'Emission factors'!M24,IF(Assumptions!E$26='Harvest calc'!$J$20,'Emission factors'!N24,IF(Assumptions!E$26='Harvest calc'!$J$21,'Emission factors'!O24,IF(Assumptions!E$26='Harvest calc'!$J$22,'Emission factors'!P24,IF(Assumptions!E$26='Harvest calc'!$J$23,'Emission factors'!Q24,IF(Assumptions!E$26='Harvest calc'!$J$24,'Emission factors'!R24))))))))))</f>
        <v>27</v>
      </c>
      <c r="C24" s="13">
        <f>IF(Assumptions!E$23="Default",'Emission factors'!E24,IF(Assumptions!E$23="FMA",'Emission factors'!F24,G24))</f>
        <v>11.699999999999989</v>
      </c>
      <c r="D24" s="13"/>
      <c r="E24">
        <f t="shared" si="4"/>
        <v>11.699999999999989</v>
      </c>
      <c r="F24">
        <f t="shared" si="5"/>
        <v>9.5</v>
      </c>
      <c r="G24" s="24">
        <f t="shared" si="6"/>
        <v>11.091308020008313</v>
      </c>
      <c r="I24" s="13">
        <f t="shared" si="7"/>
        <v>43</v>
      </c>
      <c r="J24" s="13">
        <f t="shared" si="18"/>
        <v>35</v>
      </c>
      <c r="K24" s="13">
        <f t="shared" si="19"/>
        <v>34</v>
      </c>
      <c r="L24" s="13">
        <f t="shared" si="20"/>
        <v>32</v>
      </c>
      <c r="M24" s="13">
        <f t="shared" si="20"/>
        <v>34</v>
      </c>
      <c r="N24" s="13">
        <f t="shared" si="21"/>
        <v>35</v>
      </c>
      <c r="O24" s="13">
        <f t="shared" si="22"/>
        <v>32</v>
      </c>
      <c r="P24" s="13">
        <f t="shared" si="23"/>
        <v>27</v>
      </c>
      <c r="Q24" s="13">
        <f t="shared" si="24"/>
        <v>32</v>
      </c>
      <c r="R24" s="13">
        <f t="shared" si="25"/>
        <v>34</v>
      </c>
      <c r="S24" s="13">
        <f>U24-U23</f>
        <v>36</v>
      </c>
      <c r="T24" s="13">
        <f t="shared" si="27"/>
        <v>17</v>
      </c>
      <c r="U24">
        <v>537.9</v>
      </c>
      <c r="V24">
        <v>283</v>
      </c>
      <c r="W24" s="13">
        <f t="shared" si="28"/>
        <v>21</v>
      </c>
      <c r="X24">
        <v>307</v>
      </c>
      <c r="Y24">
        <v>585</v>
      </c>
      <c r="Z24">
        <v>536</v>
      </c>
      <c r="AA24">
        <v>501</v>
      </c>
      <c r="AB24">
        <v>594</v>
      </c>
      <c r="AC24">
        <v>582</v>
      </c>
      <c r="AD24">
        <v>418</v>
      </c>
      <c r="AE24">
        <v>326</v>
      </c>
      <c r="AF24">
        <v>394</v>
      </c>
      <c r="AG24">
        <v>470</v>
      </c>
      <c r="AH24" s="13">
        <v>746.4</v>
      </c>
      <c r="AJ24">
        <v>170.9</v>
      </c>
      <c r="AK24" s="13">
        <v>148.69999999999999</v>
      </c>
      <c r="AL24" s="24">
        <v>218.15634188232502</v>
      </c>
    </row>
    <row r="25" spans="1:38" x14ac:dyDescent="0.35">
      <c r="A25" s="48">
        <f t="shared" si="17"/>
        <v>23</v>
      </c>
      <c r="B25" s="50">
        <f>IF(Assumptions!E$22="FMA",'Emission factors'!I25,IF(Assumptions!E$26='Harvest calc'!$J$16,'Emission factors'!J25,IF(Assumptions!E$26='Harvest calc'!$J$17,'Emission factors'!K25,IF(Assumptions!E$26='Harvest calc'!$J$18,'Emission factors'!L25,IF(Assumptions!E$26='Harvest calc'!$J$19,'Emission factors'!M25,IF(Assumptions!E$26='Harvest calc'!$J$20,'Emission factors'!N25,IF(Assumptions!E$26='Harvest calc'!$J$21,'Emission factors'!O25,IF(Assumptions!E$26='Harvest calc'!$J$22,'Emission factors'!P25,IF(Assumptions!E$26='Harvest calc'!$J$23,'Emission factors'!Q25,IF(Assumptions!E$26='Harvest calc'!$J$24,'Emission factors'!R25))))))))))</f>
        <v>27</v>
      </c>
      <c r="C25" s="13">
        <f>IF(Assumptions!E$23="Default",'Emission factors'!E25,IF(Assumptions!E$23="FMA",'Emission factors'!F25,G25))</f>
        <v>11.300000000000011</v>
      </c>
      <c r="D25" s="13"/>
      <c r="E25">
        <f t="shared" si="4"/>
        <v>11.300000000000011</v>
      </c>
      <c r="F25">
        <f t="shared" si="5"/>
        <v>9.6000000000000227</v>
      </c>
      <c r="G25" s="24">
        <f t="shared" si="6"/>
        <v>10.687343467808347</v>
      </c>
      <c r="I25" s="13">
        <f t="shared" si="7"/>
        <v>43.300000000000068</v>
      </c>
      <c r="J25" s="13">
        <f t="shared" si="18"/>
        <v>33</v>
      </c>
      <c r="K25" s="13">
        <f t="shared" si="19"/>
        <v>33</v>
      </c>
      <c r="L25" s="13">
        <f t="shared" si="20"/>
        <v>31</v>
      </c>
      <c r="M25" s="13">
        <f t="shared" si="20"/>
        <v>33</v>
      </c>
      <c r="N25" s="13">
        <f t="shared" si="21"/>
        <v>33</v>
      </c>
      <c r="O25" s="13">
        <f t="shared" si="22"/>
        <v>32</v>
      </c>
      <c r="P25" s="13">
        <f t="shared" si="23"/>
        <v>27</v>
      </c>
      <c r="Q25" s="13">
        <f t="shared" si="24"/>
        <v>32</v>
      </c>
      <c r="R25" s="13">
        <f t="shared" si="25"/>
        <v>34</v>
      </c>
      <c r="S25" s="13">
        <f t="shared" ref="S25:S52" si="29">U25-U24</f>
        <v>36.700000000000045</v>
      </c>
      <c r="T25" s="13">
        <f t="shared" si="27"/>
        <v>16</v>
      </c>
      <c r="U25">
        <v>574.6</v>
      </c>
      <c r="V25">
        <v>299</v>
      </c>
      <c r="W25" s="13">
        <f t="shared" si="28"/>
        <v>24</v>
      </c>
      <c r="X25">
        <v>331</v>
      </c>
      <c r="Y25">
        <v>620</v>
      </c>
      <c r="Z25">
        <v>570</v>
      </c>
      <c r="AA25">
        <v>533</v>
      </c>
      <c r="AB25">
        <v>628</v>
      </c>
      <c r="AC25">
        <v>617</v>
      </c>
      <c r="AD25">
        <v>450</v>
      </c>
      <c r="AE25">
        <v>353</v>
      </c>
      <c r="AF25">
        <v>426</v>
      </c>
      <c r="AG25">
        <v>504</v>
      </c>
      <c r="AH25" s="13">
        <v>789.4</v>
      </c>
      <c r="AJ25">
        <v>182.6</v>
      </c>
      <c r="AK25" s="13">
        <v>158.19999999999999</v>
      </c>
      <c r="AL25" s="24">
        <v>229.24764990233334</v>
      </c>
    </row>
    <row r="26" spans="1:38" x14ac:dyDescent="0.35">
      <c r="A26" s="48">
        <f t="shared" si="17"/>
        <v>24</v>
      </c>
      <c r="B26" s="50">
        <f>IF(Assumptions!E$22="FMA",'Emission factors'!I26,IF(Assumptions!E$26='Harvest calc'!$J$16,'Emission factors'!J26,IF(Assumptions!E$26='Harvest calc'!$J$17,'Emission factors'!K26,IF(Assumptions!E$26='Harvest calc'!$J$18,'Emission factors'!L26,IF(Assumptions!E$26='Harvest calc'!$J$19,'Emission factors'!M26,IF(Assumptions!E$26='Harvest calc'!$J$20,'Emission factors'!N26,IF(Assumptions!E$26='Harvest calc'!$J$21,'Emission factors'!O26,IF(Assumptions!E$26='Harvest calc'!$J$22,'Emission factors'!P26,IF(Assumptions!E$26='Harvest calc'!$J$23,'Emission factors'!Q26,IF(Assumptions!E$26='Harvest calc'!$J$24,'Emission factors'!R26))))))))))</f>
        <v>28</v>
      </c>
      <c r="C26" s="13">
        <f>IF(Assumptions!E$23="Default",'Emission factors'!E26,IF(Assumptions!E$23="FMA",'Emission factors'!F26,G26))</f>
        <v>10.799999999999983</v>
      </c>
      <c r="D26" s="13"/>
      <c r="E26">
        <f t="shared" si="4"/>
        <v>10.799999999999983</v>
      </c>
      <c r="F26">
        <f t="shared" si="5"/>
        <v>9.2999999999999829</v>
      </c>
      <c r="G26" s="24">
        <f t="shared" si="6"/>
        <v>10.218276790608257</v>
      </c>
      <c r="I26" s="13">
        <f t="shared" si="7"/>
        <v>43.099999999999909</v>
      </c>
      <c r="J26" s="13">
        <f t="shared" si="18"/>
        <v>32</v>
      </c>
      <c r="K26" s="13">
        <f t="shared" si="19"/>
        <v>33</v>
      </c>
      <c r="L26" s="13">
        <f t="shared" si="20"/>
        <v>29</v>
      </c>
      <c r="M26" s="13">
        <f t="shared" si="20"/>
        <v>31</v>
      </c>
      <c r="N26" s="13">
        <f t="shared" si="21"/>
        <v>31</v>
      </c>
      <c r="O26" s="13">
        <f t="shared" si="22"/>
        <v>31</v>
      </c>
      <c r="P26" s="13">
        <f t="shared" si="23"/>
        <v>28</v>
      </c>
      <c r="Q26" s="13">
        <f t="shared" si="24"/>
        <v>32</v>
      </c>
      <c r="R26" s="13">
        <f t="shared" si="25"/>
        <v>33</v>
      </c>
      <c r="S26" s="13">
        <f t="shared" si="29"/>
        <v>38.199999999999932</v>
      </c>
      <c r="T26" s="13">
        <f t="shared" si="27"/>
        <v>16</v>
      </c>
      <c r="U26">
        <v>612.79999999999995</v>
      </c>
      <c r="V26">
        <v>315</v>
      </c>
      <c r="W26" s="13">
        <f t="shared" si="28"/>
        <v>24</v>
      </c>
      <c r="X26">
        <v>355</v>
      </c>
      <c r="Y26">
        <v>653</v>
      </c>
      <c r="Z26">
        <v>603</v>
      </c>
      <c r="AA26">
        <v>564</v>
      </c>
      <c r="AB26">
        <v>661</v>
      </c>
      <c r="AC26">
        <v>650</v>
      </c>
      <c r="AD26">
        <v>482</v>
      </c>
      <c r="AE26">
        <v>380</v>
      </c>
      <c r="AF26">
        <v>458</v>
      </c>
      <c r="AG26">
        <v>538</v>
      </c>
      <c r="AH26" s="13">
        <v>832.7</v>
      </c>
      <c r="AJ26">
        <v>193.9</v>
      </c>
      <c r="AK26" s="13">
        <v>167.8</v>
      </c>
      <c r="AL26" s="24">
        <v>239.93499337014168</v>
      </c>
    </row>
    <row r="27" spans="1:38" x14ac:dyDescent="0.35">
      <c r="A27" s="48">
        <f t="shared" si="17"/>
        <v>25</v>
      </c>
      <c r="B27" s="50">
        <f>IF(Assumptions!E$22="FMA",'Emission factors'!I27,IF(Assumptions!E$26='Harvest calc'!$J$16,'Emission factors'!J27,IF(Assumptions!E$26='Harvest calc'!$J$17,'Emission factors'!K27,IF(Assumptions!E$26='Harvest calc'!$J$18,'Emission factors'!L27,IF(Assumptions!E$26='Harvest calc'!$J$19,'Emission factors'!M27,IF(Assumptions!E$26='Harvest calc'!$J$20,'Emission factors'!N27,IF(Assumptions!E$26='Harvest calc'!$J$21,'Emission factors'!O27,IF(Assumptions!E$26='Harvest calc'!$J$22,'Emission factors'!P27,IF(Assumptions!E$26='Harvest calc'!$J$23,'Emission factors'!Q27,IF(Assumptions!E$26='Harvest calc'!$J$24,'Emission factors'!R27))))))))))</f>
        <v>27</v>
      </c>
      <c r="C27" s="13">
        <f>IF(Assumptions!E$23="Default",'Emission factors'!E27,IF(Assumptions!E$23="FMA",'Emission factors'!F27,G27))</f>
        <v>10.300000000000011</v>
      </c>
      <c r="D27" s="13"/>
      <c r="E27">
        <f t="shared" si="4"/>
        <v>10.300000000000011</v>
      </c>
      <c r="F27">
        <f t="shared" si="5"/>
        <v>8.7000000000000171</v>
      </c>
      <c r="G27" s="24">
        <f t="shared" si="6"/>
        <v>9.6841079884084991</v>
      </c>
      <c r="I27" s="13">
        <f t="shared" si="7"/>
        <v>42.900000000000091</v>
      </c>
      <c r="J27" s="13">
        <f t="shared" si="18"/>
        <v>30</v>
      </c>
      <c r="K27" s="13">
        <f t="shared" si="19"/>
        <v>30</v>
      </c>
      <c r="L27" s="13">
        <f t="shared" si="20"/>
        <v>29</v>
      </c>
      <c r="M27" s="13">
        <f t="shared" si="20"/>
        <v>30</v>
      </c>
      <c r="N27" s="13">
        <f t="shared" si="21"/>
        <v>31</v>
      </c>
      <c r="O27" s="13">
        <f t="shared" si="22"/>
        <v>30</v>
      </c>
      <c r="P27" s="13">
        <f t="shared" si="23"/>
        <v>27</v>
      </c>
      <c r="Q27" s="13">
        <f t="shared" si="24"/>
        <v>31</v>
      </c>
      <c r="R27" s="13">
        <f t="shared" si="25"/>
        <v>33</v>
      </c>
      <c r="S27" s="13">
        <f t="shared" si="29"/>
        <v>38.400000000000091</v>
      </c>
      <c r="T27" s="13">
        <f t="shared" si="27"/>
        <v>15</v>
      </c>
      <c r="U27">
        <v>651.20000000000005</v>
      </c>
      <c r="V27">
        <v>330</v>
      </c>
      <c r="W27" s="13">
        <f t="shared" si="28"/>
        <v>27</v>
      </c>
      <c r="X27">
        <v>382</v>
      </c>
      <c r="Y27">
        <v>685</v>
      </c>
      <c r="Z27">
        <v>636</v>
      </c>
      <c r="AA27">
        <v>593</v>
      </c>
      <c r="AB27">
        <v>692</v>
      </c>
      <c r="AC27">
        <v>681</v>
      </c>
      <c r="AD27">
        <v>513</v>
      </c>
      <c r="AE27">
        <v>408</v>
      </c>
      <c r="AF27">
        <v>490</v>
      </c>
      <c r="AG27">
        <v>571</v>
      </c>
      <c r="AH27" s="13">
        <v>875.8</v>
      </c>
      <c r="AJ27">
        <v>204.7</v>
      </c>
      <c r="AK27" s="13">
        <v>177.1</v>
      </c>
      <c r="AL27" s="24">
        <v>250.15327016074994</v>
      </c>
    </row>
    <row r="28" spans="1:38" x14ac:dyDescent="0.35">
      <c r="A28" s="48">
        <f t="shared" si="17"/>
        <v>26</v>
      </c>
      <c r="B28" s="50">
        <f>IF(Assumptions!E$22="FMA",'Emission factors'!I28,IF(Assumptions!E$26='Harvest calc'!$J$16,'Emission factors'!J28,IF(Assumptions!E$26='Harvest calc'!$J$17,'Emission factors'!K28,IF(Assumptions!E$26='Harvest calc'!$J$18,'Emission factors'!L28,IF(Assumptions!E$26='Harvest calc'!$J$19,'Emission factors'!M28,IF(Assumptions!E$26='Harvest calc'!$J$20,'Emission factors'!N28,IF(Assumptions!E$26='Harvest calc'!$J$21,'Emission factors'!O28,IF(Assumptions!E$26='Harvest calc'!$J$22,'Emission factors'!P28,IF(Assumptions!E$26='Harvest calc'!$J$23,'Emission factors'!Q28,IF(Assumptions!E$26='Harvest calc'!$J$24,'Emission factors'!R28))))))))))</f>
        <v>26</v>
      </c>
      <c r="C28" s="13">
        <f>IF(Assumptions!E$23="Default",'Emission factors'!E28,IF(Assumptions!E$23="FMA",'Emission factors'!F28,G28))</f>
        <v>9.5999999999999943</v>
      </c>
      <c r="D28" s="13"/>
      <c r="E28">
        <f t="shared" si="4"/>
        <v>9.5999999999999943</v>
      </c>
      <c r="F28">
        <f t="shared" si="5"/>
        <v>8.5</v>
      </c>
      <c r="G28" s="24">
        <f t="shared" si="6"/>
        <v>9.0848370612082476</v>
      </c>
      <c r="I28" s="13">
        <f t="shared" si="7"/>
        <v>42.599999999999909</v>
      </c>
      <c r="J28" s="13">
        <f t="shared" si="18"/>
        <v>30</v>
      </c>
      <c r="K28" s="13">
        <f t="shared" si="19"/>
        <v>30</v>
      </c>
      <c r="L28" s="13">
        <f t="shared" si="20"/>
        <v>28</v>
      </c>
      <c r="M28" s="13">
        <f t="shared" si="20"/>
        <v>29</v>
      </c>
      <c r="N28" s="13">
        <f t="shared" si="21"/>
        <v>29</v>
      </c>
      <c r="O28" s="13">
        <f t="shared" si="22"/>
        <v>30</v>
      </c>
      <c r="P28" s="13">
        <f t="shared" si="23"/>
        <v>26</v>
      </c>
      <c r="Q28" s="13">
        <f t="shared" si="24"/>
        <v>31</v>
      </c>
      <c r="R28" s="13">
        <f t="shared" si="25"/>
        <v>31</v>
      </c>
      <c r="S28" s="13">
        <f t="shared" si="29"/>
        <v>38.799999999999955</v>
      </c>
      <c r="T28" s="13">
        <f t="shared" si="27"/>
        <v>14</v>
      </c>
      <c r="U28">
        <v>690</v>
      </c>
      <c r="V28">
        <v>344</v>
      </c>
      <c r="W28" s="13">
        <f t="shared" si="28"/>
        <v>27</v>
      </c>
      <c r="X28">
        <v>409</v>
      </c>
      <c r="Y28">
        <v>715</v>
      </c>
      <c r="Z28">
        <v>666</v>
      </c>
      <c r="AA28">
        <v>622</v>
      </c>
      <c r="AB28">
        <v>722</v>
      </c>
      <c r="AC28">
        <v>712</v>
      </c>
      <c r="AD28">
        <v>543</v>
      </c>
      <c r="AE28">
        <v>435</v>
      </c>
      <c r="AF28">
        <v>521</v>
      </c>
      <c r="AG28">
        <v>604</v>
      </c>
      <c r="AH28" s="13">
        <v>918.7</v>
      </c>
      <c r="AJ28">
        <v>215</v>
      </c>
      <c r="AK28" s="13">
        <v>185.8</v>
      </c>
      <c r="AL28" s="24">
        <v>259.83737814915844</v>
      </c>
    </row>
    <row r="29" spans="1:38" x14ac:dyDescent="0.35">
      <c r="A29" s="48">
        <f t="shared" si="17"/>
        <v>27</v>
      </c>
      <c r="B29" s="50">
        <f>IF(Assumptions!E$22="FMA",'Emission factors'!I29,IF(Assumptions!E$26='Harvest calc'!$J$16,'Emission factors'!J29,IF(Assumptions!E$26='Harvest calc'!$J$17,'Emission factors'!K29,IF(Assumptions!E$26='Harvest calc'!$J$18,'Emission factors'!L29,IF(Assumptions!E$26='Harvest calc'!$J$19,'Emission factors'!M29,IF(Assumptions!E$26='Harvest calc'!$J$20,'Emission factors'!N29,IF(Assumptions!E$26='Harvest calc'!$J$21,'Emission factors'!O29,IF(Assumptions!E$26='Harvest calc'!$J$22,'Emission factors'!P29,IF(Assumptions!E$26='Harvest calc'!$J$23,'Emission factors'!Q29,IF(Assumptions!E$26='Harvest calc'!$J$24,'Emission factors'!R29))))))))))</f>
        <v>27</v>
      </c>
      <c r="C29" s="13">
        <f>IF(Assumptions!E$23="Default",'Emission factors'!E29,IF(Assumptions!E$23="FMA",'Emission factors'!F29,G29))</f>
        <v>9.0999999999999943</v>
      </c>
      <c r="D29" s="13"/>
      <c r="E29">
        <f t="shared" si="4"/>
        <v>9.0999999999999943</v>
      </c>
      <c r="F29">
        <f t="shared" si="5"/>
        <v>8.5999999999999943</v>
      </c>
      <c r="G29" s="24">
        <f t="shared" si="6"/>
        <v>8.4204640090082989</v>
      </c>
      <c r="I29" s="13">
        <f t="shared" si="7"/>
        <v>42.300000000000068</v>
      </c>
      <c r="J29" s="13">
        <f t="shared" si="18"/>
        <v>28</v>
      </c>
      <c r="K29" s="13">
        <f t="shared" si="19"/>
        <v>30</v>
      </c>
      <c r="L29" s="13">
        <f t="shared" si="20"/>
        <v>27</v>
      </c>
      <c r="M29" s="13">
        <f t="shared" si="20"/>
        <v>28</v>
      </c>
      <c r="N29" s="13">
        <f t="shared" si="21"/>
        <v>28</v>
      </c>
      <c r="O29" s="13">
        <f t="shared" si="22"/>
        <v>30</v>
      </c>
      <c r="P29" s="13">
        <f t="shared" si="23"/>
        <v>27</v>
      </c>
      <c r="Q29" s="13">
        <f t="shared" si="24"/>
        <v>31</v>
      </c>
      <c r="R29" s="13">
        <f t="shared" si="25"/>
        <v>32</v>
      </c>
      <c r="S29" s="13">
        <f t="shared" si="29"/>
        <v>38.899999999999977</v>
      </c>
      <c r="T29" s="13">
        <f t="shared" si="27"/>
        <v>15</v>
      </c>
      <c r="U29">
        <v>728.9</v>
      </c>
      <c r="V29">
        <v>359</v>
      </c>
      <c r="W29" s="13">
        <f t="shared" si="28"/>
        <v>27</v>
      </c>
      <c r="X29">
        <v>436</v>
      </c>
      <c r="Y29">
        <v>745</v>
      </c>
      <c r="Z29">
        <v>696</v>
      </c>
      <c r="AA29">
        <v>650</v>
      </c>
      <c r="AB29">
        <v>751</v>
      </c>
      <c r="AC29">
        <v>741</v>
      </c>
      <c r="AD29">
        <v>573</v>
      </c>
      <c r="AE29">
        <v>461</v>
      </c>
      <c r="AF29">
        <v>552</v>
      </c>
      <c r="AG29">
        <v>635</v>
      </c>
      <c r="AH29" s="13">
        <v>961.3</v>
      </c>
      <c r="AJ29">
        <v>224.6</v>
      </c>
      <c r="AK29" s="13">
        <v>194.3</v>
      </c>
      <c r="AL29" s="24">
        <v>268.92221521036669</v>
      </c>
    </row>
    <row r="30" spans="1:38" x14ac:dyDescent="0.35">
      <c r="A30" s="48">
        <f t="shared" si="17"/>
        <v>28</v>
      </c>
      <c r="B30" s="50">
        <f>IF(Assumptions!E$22="FMA",'Emission factors'!I30,IF(Assumptions!E$26='Harvest calc'!$J$16,'Emission factors'!J30,IF(Assumptions!E$26='Harvest calc'!$J$17,'Emission factors'!K30,IF(Assumptions!E$26='Harvest calc'!$J$18,'Emission factors'!L30,IF(Assumptions!E$26='Harvest calc'!$J$19,'Emission factors'!M30,IF(Assumptions!E$26='Harvest calc'!$J$20,'Emission factors'!N30,IF(Assumptions!E$26='Harvest calc'!$J$21,'Emission factors'!O30,IF(Assumptions!E$26='Harvest calc'!$J$22,'Emission factors'!P30,IF(Assumptions!E$26='Harvest calc'!$J$23,'Emission factors'!Q30,IF(Assumptions!E$26='Harvest calc'!$J$24,'Emission factors'!R30))))))))))</f>
        <v>27</v>
      </c>
      <c r="C30" s="13">
        <f>IF(Assumptions!E$23="Default",'Emission factors'!E30,IF(Assumptions!E$23="FMA",'Emission factors'!F30,G30))</f>
        <v>8.5</v>
      </c>
      <c r="D30" s="13"/>
      <c r="E30">
        <f t="shared" si="4"/>
        <v>8.5</v>
      </c>
      <c r="F30">
        <f t="shared" si="5"/>
        <v>7.6999999999999886</v>
      </c>
      <c r="G30" s="24">
        <f t="shared" si="6"/>
        <v>7.6909888318083972</v>
      </c>
      <c r="I30" s="13">
        <f t="shared" si="7"/>
        <v>41.800000000000068</v>
      </c>
      <c r="J30" s="13">
        <f t="shared" si="18"/>
        <v>28</v>
      </c>
      <c r="K30" s="13">
        <f t="shared" si="19"/>
        <v>29</v>
      </c>
      <c r="L30" s="13">
        <f t="shared" si="20"/>
        <v>27</v>
      </c>
      <c r="M30" s="13">
        <f t="shared" si="20"/>
        <v>28</v>
      </c>
      <c r="N30" s="13">
        <f t="shared" si="21"/>
        <v>28</v>
      </c>
      <c r="O30" s="13">
        <f t="shared" si="22"/>
        <v>29</v>
      </c>
      <c r="P30" s="13">
        <f t="shared" si="23"/>
        <v>27</v>
      </c>
      <c r="Q30" s="13">
        <f t="shared" si="24"/>
        <v>30</v>
      </c>
      <c r="R30" s="13">
        <f t="shared" si="25"/>
        <v>31</v>
      </c>
      <c r="S30" s="13">
        <f t="shared" si="29"/>
        <v>38.899999999999977</v>
      </c>
      <c r="T30" s="13">
        <f t="shared" si="27"/>
        <v>14</v>
      </c>
      <c r="U30">
        <v>767.8</v>
      </c>
      <c r="V30">
        <v>373</v>
      </c>
      <c r="W30" s="13">
        <f t="shared" si="28"/>
        <v>9</v>
      </c>
      <c r="X30">
        <v>445</v>
      </c>
      <c r="Y30">
        <v>773</v>
      </c>
      <c r="Z30">
        <v>726</v>
      </c>
      <c r="AA30">
        <v>677</v>
      </c>
      <c r="AB30">
        <v>779</v>
      </c>
      <c r="AC30">
        <v>769</v>
      </c>
      <c r="AD30">
        <v>603</v>
      </c>
      <c r="AE30">
        <v>488</v>
      </c>
      <c r="AF30">
        <v>583</v>
      </c>
      <c r="AG30">
        <v>667</v>
      </c>
      <c r="AH30" s="13">
        <v>1003.6</v>
      </c>
      <c r="AJ30">
        <v>233.7</v>
      </c>
      <c r="AK30" s="13">
        <v>202.9</v>
      </c>
      <c r="AL30" s="24">
        <v>277.34267921937499</v>
      </c>
    </row>
    <row r="31" spans="1:38" x14ac:dyDescent="0.35">
      <c r="A31" s="48">
        <f t="shared" si="17"/>
        <v>29</v>
      </c>
      <c r="B31" s="50">
        <f>IF(Assumptions!E$22="FMA",'Emission factors'!I31,IF(Assumptions!E$26='Harvest calc'!$J$16,'Emission factors'!J31,IF(Assumptions!E$26='Harvest calc'!$J$17,'Emission factors'!K31,IF(Assumptions!E$26='Harvest calc'!$J$18,'Emission factors'!L31,IF(Assumptions!E$26='Harvest calc'!$J$19,'Emission factors'!M31,IF(Assumptions!E$26='Harvest calc'!$J$20,'Emission factors'!N31,IF(Assumptions!E$26='Harvest calc'!$J$21,'Emission factors'!O31,IF(Assumptions!E$26='Harvest calc'!$J$22,'Emission factors'!P31,IF(Assumptions!E$26='Harvest calc'!$J$23,'Emission factors'!Q31,IF(Assumptions!E$26='Harvest calc'!$J$24,'Emission factors'!R31))))))))))</f>
        <v>27</v>
      </c>
      <c r="C31" s="13">
        <f>IF(Assumptions!E$23="Default",'Emission factors'!E31,IF(Assumptions!E$23="FMA",'Emission factors'!F31,G31))</f>
        <v>7.9000000000000057</v>
      </c>
      <c r="D31" s="13"/>
      <c r="E31">
        <f t="shared" si="4"/>
        <v>7.9000000000000057</v>
      </c>
      <c r="F31">
        <f t="shared" si="5"/>
        <v>7.5999999999999943</v>
      </c>
      <c r="G31" s="24">
        <f t="shared" si="6"/>
        <v>6.8964115296082582</v>
      </c>
      <c r="I31" s="13">
        <f t="shared" si="7"/>
        <v>41.299999999999955</v>
      </c>
      <c r="J31" s="13">
        <f t="shared" si="18"/>
        <v>27</v>
      </c>
      <c r="K31" s="13">
        <f t="shared" si="19"/>
        <v>28</v>
      </c>
      <c r="L31" s="13">
        <f t="shared" si="20"/>
        <v>26</v>
      </c>
      <c r="M31" s="13">
        <f t="shared" si="20"/>
        <v>27</v>
      </c>
      <c r="N31" s="13">
        <f t="shared" si="21"/>
        <v>28</v>
      </c>
      <c r="O31" s="13">
        <f t="shared" si="22"/>
        <v>29</v>
      </c>
      <c r="P31" s="13">
        <f t="shared" si="23"/>
        <v>27</v>
      </c>
      <c r="Q31" s="13">
        <f t="shared" si="24"/>
        <v>31</v>
      </c>
      <c r="R31" s="13">
        <f t="shared" si="25"/>
        <v>31</v>
      </c>
      <c r="S31" s="13">
        <f t="shared" si="29"/>
        <v>38.900000000000091</v>
      </c>
      <c r="T31" s="13">
        <f t="shared" si="27"/>
        <v>14</v>
      </c>
      <c r="U31">
        <v>806.7</v>
      </c>
      <c r="V31">
        <v>387</v>
      </c>
      <c r="W31" s="13">
        <f t="shared" si="28"/>
        <v>23</v>
      </c>
      <c r="X31">
        <v>468</v>
      </c>
      <c r="Y31">
        <v>801</v>
      </c>
      <c r="Z31">
        <v>755</v>
      </c>
      <c r="AA31">
        <v>704</v>
      </c>
      <c r="AB31">
        <v>807</v>
      </c>
      <c r="AC31">
        <v>797</v>
      </c>
      <c r="AD31">
        <v>632</v>
      </c>
      <c r="AE31">
        <v>515</v>
      </c>
      <c r="AF31">
        <v>613</v>
      </c>
      <c r="AG31">
        <v>698</v>
      </c>
      <c r="AH31" s="13">
        <v>1045.4000000000001</v>
      </c>
      <c r="AJ31">
        <v>242.2</v>
      </c>
      <c r="AK31" s="13">
        <v>210.6</v>
      </c>
      <c r="AL31" s="24">
        <v>285.03366805118338</v>
      </c>
    </row>
    <row r="32" spans="1:38" x14ac:dyDescent="0.35">
      <c r="A32" s="48">
        <f t="shared" si="17"/>
        <v>30</v>
      </c>
      <c r="B32" s="50">
        <f>IF(Assumptions!E$22="FMA",'Emission factors'!I32,IF(Assumptions!E$26='Harvest calc'!$J$16,'Emission factors'!J32,IF(Assumptions!E$26='Harvest calc'!$J$17,'Emission factors'!K32,IF(Assumptions!E$26='Harvest calc'!$J$18,'Emission factors'!L32,IF(Assumptions!E$26='Harvest calc'!$J$19,'Emission factors'!M32,IF(Assumptions!E$26='Harvest calc'!$J$20,'Emission factors'!N32,IF(Assumptions!E$26='Harvest calc'!$J$21,'Emission factors'!O32,IF(Assumptions!E$26='Harvest calc'!$J$22,'Emission factors'!P32,IF(Assumptions!E$26='Harvest calc'!$J$23,'Emission factors'!Q32,IF(Assumptions!E$26='Harvest calc'!$J$24,'Emission factors'!R32))))))))))</f>
        <v>27</v>
      </c>
      <c r="C32" s="13">
        <f>IF(Assumptions!E$23="Default",'Emission factors'!E32,IF(Assumptions!E$23="FMA",'Emission factors'!F32,G32))</f>
        <v>7.4000000000000057</v>
      </c>
      <c r="D32" s="13"/>
      <c r="E32">
        <f t="shared" si="4"/>
        <v>7.4000000000000057</v>
      </c>
      <c r="F32">
        <f t="shared" si="5"/>
        <v>7.2000000000000171</v>
      </c>
      <c r="G32" s="24">
        <f t="shared" si="6"/>
        <v>6.0367321024083935</v>
      </c>
      <c r="I32" s="13">
        <f t="shared" si="7"/>
        <v>40.700000000000045</v>
      </c>
      <c r="J32" s="13">
        <f t="shared" si="18"/>
        <v>27</v>
      </c>
      <c r="K32" s="13">
        <f t="shared" si="19"/>
        <v>28</v>
      </c>
      <c r="L32" s="13">
        <f t="shared" si="20"/>
        <v>25</v>
      </c>
      <c r="M32" s="13">
        <f t="shared" si="20"/>
        <v>27</v>
      </c>
      <c r="N32" s="13">
        <f t="shared" si="21"/>
        <v>27</v>
      </c>
      <c r="O32" s="13">
        <f t="shared" si="22"/>
        <v>29</v>
      </c>
      <c r="P32" s="13">
        <f t="shared" si="23"/>
        <v>27</v>
      </c>
      <c r="Q32" s="13">
        <f t="shared" si="24"/>
        <v>30</v>
      </c>
      <c r="R32" s="13">
        <f t="shared" si="25"/>
        <v>31</v>
      </c>
      <c r="S32" s="13">
        <f t="shared" si="29"/>
        <v>38.699999999999932</v>
      </c>
      <c r="T32" s="13">
        <f t="shared" si="27"/>
        <v>13</v>
      </c>
      <c r="U32">
        <v>845.4</v>
      </c>
      <c r="V32">
        <v>400</v>
      </c>
      <c r="W32" s="13">
        <f t="shared" si="28"/>
        <v>25</v>
      </c>
      <c r="X32">
        <v>493</v>
      </c>
      <c r="Y32">
        <v>828</v>
      </c>
      <c r="Z32">
        <v>783</v>
      </c>
      <c r="AA32">
        <v>730</v>
      </c>
      <c r="AB32">
        <v>834</v>
      </c>
      <c r="AC32">
        <v>825</v>
      </c>
      <c r="AD32">
        <v>661</v>
      </c>
      <c r="AE32">
        <v>542</v>
      </c>
      <c r="AF32">
        <v>644</v>
      </c>
      <c r="AG32">
        <v>729</v>
      </c>
      <c r="AH32" s="13">
        <v>1086.7</v>
      </c>
      <c r="AJ32">
        <v>250.1</v>
      </c>
      <c r="AK32" s="13">
        <v>218.2</v>
      </c>
      <c r="AL32" s="24">
        <v>291.93007958079164</v>
      </c>
    </row>
    <row r="33" spans="1:38" x14ac:dyDescent="0.35">
      <c r="A33" s="48">
        <f t="shared" si="17"/>
        <v>31</v>
      </c>
      <c r="B33" s="50">
        <f>IF(Assumptions!E$22="FMA",'Emission factors'!I33,IF(Assumptions!E$26='Harvest calc'!$J$16,'Emission factors'!J33,IF(Assumptions!E$26='Harvest calc'!$J$17,'Emission factors'!K33,IF(Assumptions!E$26='Harvest calc'!$J$18,'Emission factors'!L33,IF(Assumptions!E$26='Harvest calc'!$J$19,'Emission factors'!M33,IF(Assumptions!E$26='Harvest calc'!$J$20,'Emission factors'!N33,IF(Assumptions!E$26='Harvest calc'!$J$21,'Emission factors'!O33,IF(Assumptions!E$26='Harvest calc'!$J$22,'Emission factors'!P33,IF(Assumptions!E$26='Harvest calc'!$J$23,'Emission factors'!Q33,IF(Assumptions!E$26='Harvest calc'!$J$24,'Emission factors'!R33))))))))))</f>
        <v>26</v>
      </c>
      <c r="C33" s="13">
        <f>IF(Assumptions!E$23="Default",'Emission factors'!E33,IF(Assumptions!E$23="FMA",'Emission factors'!F33,G33))</f>
        <v>6.8000000000000114</v>
      </c>
      <c r="D33" s="13"/>
      <c r="E33">
        <f t="shared" si="4"/>
        <v>6.8000000000000114</v>
      </c>
      <c r="F33">
        <f t="shared" si="5"/>
        <v>6.5999999999999943</v>
      </c>
      <c r="G33" s="24">
        <f t="shared" si="6"/>
        <v>6.0367321024083935</v>
      </c>
      <c r="I33" s="13">
        <f t="shared" si="7"/>
        <v>39.899999999999864</v>
      </c>
      <c r="J33" s="13">
        <f t="shared" si="18"/>
        <v>25</v>
      </c>
      <c r="K33" s="13">
        <f t="shared" si="19"/>
        <v>27</v>
      </c>
      <c r="L33" s="13">
        <f t="shared" si="20"/>
        <v>25</v>
      </c>
      <c r="M33" s="13">
        <f t="shared" si="20"/>
        <v>25</v>
      </c>
      <c r="N33" s="13">
        <f t="shared" si="21"/>
        <v>26</v>
      </c>
      <c r="O33" s="13">
        <f t="shared" si="22"/>
        <v>28</v>
      </c>
      <c r="P33" s="13">
        <f t="shared" si="23"/>
        <v>26</v>
      </c>
      <c r="Q33" s="13">
        <f t="shared" si="24"/>
        <v>29</v>
      </c>
      <c r="R33" s="13">
        <f t="shared" si="25"/>
        <v>30</v>
      </c>
      <c r="S33" s="13">
        <f t="shared" si="29"/>
        <v>38.300000000000068</v>
      </c>
      <c r="T33" s="13">
        <f t="shared" si="27"/>
        <v>14</v>
      </c>
      <c r="U33">
        <v>883.7</v>
      </c>
      <c r="V33">
        <v>414</v>
      </c>
      <c r="W33" s="13">
        <f t="shared" si="28"/>
        <v>25</v>
      </c>
      <c r="X33">
        <v>518</v>
      </c>
      <c r="Y33">
        <v>855</v>
      </c>
      <c r="Z33">
        <v>811</v>
      </c>
      <c r="AA33">
        <v>755</v>
      </c>
      <c r="AB33">
        <v>861</v>
      </c>
      <c r="AC33">
        <v>852</v>
      </c>
      <c r="AD33">
        <v>690</v>
      </c>
      <c r="AE33">
        <v>569</v>
      </c>
      <c r="AF33">
        <v>674</v>
      </c>
      <c r="AG33">
        <v>760</v>
      </c>
      <c r="AH33" s="13">
        <v>1127.4000000000001</v>
      </c>
      <c r="AJ33">
        <v>257.5</v>
      </c>
      <c r="AK33" s="13">
        <v>225.4</v>
      </c>
      <c r="AL33" s="24">
        <v>297.96681168320004</v>
      </c>
    </row>
    <row r="34" spans="1:38" x14ac:dyDescent="0.35">
      <c r="A34" s="48">
        <f t="shared" si="17"/>
        <v>32</v>
      </c>
      <c r="B34" s="50">
        <f>IF(Assumptions!E$22="FMA",'Emission factors'!I34,IF(Assumptions!E$26='Harvest calc'!$J$16,'Emission factors'!J34,IF(Assumptions!E$26='Harvest calc'!$J$17,'Emission factors'!K34,IF(Assumptions!E$26='Harvest calc'!$J$18,'Emission factors'!L34,IF(Assumptions!E$26='Harvest calc'!$J$19,'Emission factors'!M34,IF(Assumptions!E$26='Harvest calc'!$J$20,'Emission factors'!N34,IF(Assumptions!E$26='Harvest calc'!$J$21,'Emission factors'!O34,IF(Assumptions!E$26='Harvest calc'!$J$22,'Emission factors'!P34,IF(Assumptions!E$26='Harvest calc'!$J$23,'Emission factors'!Q34,IF(Assumptions!E$26='Harvest calc'!$J$24,'Emission factors'!R34))))))))))</f>
        <v>26</v>
      </c>
      <c r="C34" s="13">
        <f>IF(Assumptions!E$23="Default",'Emission factors'!E34,IF(Assumptions!E$23="FMA",'Emission factors'!F34,G34))</f>
        <v>6.3000000000000114</v>
      </c>
      <c r="D34" s="13"/>
      <c r="E34">
        <f t="shared" si="4"/>
        <v>6.3000000000000114</v>
      </c>
      <c r="F34">
        <f t="shared" si="5"/>
        <v>6.5999999999999943</v>
      </c>
      <c r="G34" s="24">
        <f t="shared" si="6"/>
        <v>5.177186666666671</v>
      </c>
      <c r="I34" s="13">
        <f t="shared" si="7"/>
        <v>39.200000000000045</v>
      </c>
      <c r="J34" s="13">
        <f t="shared" si="18"/>
        <v>25</v>
      </c>
      <c r="K34" s="13">
        <f t="shared" si="19"/>
        <v>27</v>
      </c>
      <c r="L34" s="13">
        <f t="shared" si="20"/>
        <v>24</v>
      </c>
      <c r="M34" s="13">
        <f t="shared" si="20"/>
        <v>26</v>
      </c>
      <c r="N34" s="13">
        <f t="shared" si="21"/>
        <v>25</v>
      </c>
      <c r="O34" s="13">
        <f t="shared" si="22"/>
        <v>27</v>
      </c>
      <c r="P34" s="13">
        <f t="shared" si="23"/>
        <v>26</v>
      </c>
      <c r="Q34" s="13">
        <f t="shared" si="24"/>
        <v>29</v>
      </c>
      <c r="R34" s="13">
        <f t="shared" si="25"/>
        <v>30</v>
      </c>
      <c r="S34" s="13">
        <f t="shared" si="29"/>
        <v>38</v>
      </c>
      <c r="T34" s="13">
        <f t="shared" si="27"/>
        <v>13</v>
      </c>
      <c r="U34">
        <v>921.7</v>
      </c>
      <c r="V34">
        <v>427</v>
      </c>
      <c r="W34" s="13">
        <f t="shared" si="28"/>
        <v>27</v>
      </c>
      <c r="X34">
        <v>545</v>
      </c>
      <c r="Y34">
        <v>880</v>
      </c>
      <c r="Z34">
        <v>838</v>
      </c>
      <c r="AA34">
        <v>780</v>
      </c>
      <c r="AB34">
        <v>886</v>
      </c>
      <c r="AC34">
        <v>878</v>
      </c>
      <c r="AD34">
        <v>718</v>
      </c>
      <c r="AE34">
        <v>595</v>
      </c>
      <c r="AF34">
        <v>703</v>
      </c>
      <c r="AG34">
        <v>790</v>
      </c>
      <c r="AH34" s="13">
        <v>1167.3</v>
      </c>
      <c r="AJ34">
        <v>264.3</v>
      </c>
      <c r="AK34" s="13">
        <v>232</v>
      </c>
      <c r="AL34" s="24">
        <v>304.00354378560843</v>
      </c>
    </row>
    <row r="35" spans="1:38" x14ac:dyDescent="0.35">
      <c r="A35" s="48">
        <f t="shared" si="17"/>
        <v>33</v>
      </c>
      <c r="B35" s="50">
        <f>IF(Assumptions!E$22="FMA",'Emission factors'!I35,IF(Assumptions!E$26='Harvest calc'!$J$16,'Emission factors'!J35,IF(Assumptions!E$26='Harvest calc'!$J$17,'Emission factors'!K35,IF(Assumptions!E$26='Harvest calc'!$J$18,'Emission factors'!L35,IF(Assumptions!E$26='Harvest calc'!$J$19,'Emission factors'!M35,IF(Assumptions!E$26='Harvest calc'!$J$20,'Emission factors'!N35,IF(Assumptions!E$26='Harvest calc'!$J$21,'Emission factors'!O35,IF(Assumptions!E$26='Harvest calc'!$J$22,'Emission factors'!P35,IF(Assumptions!E$26='Harvest calc'!$J$23,'Emission factors'!Q35,IF(Assumptions!E$26='Harvest calc'!$J$24,'Emission factors'!R35))))))))))</f>
        <v>26</v>
      </c>
      <c r="C35" s="13">
        <f>IF(Assumptions!E$23="Default",'Emission factors'!E35,IF(Assumptions!E$23="FMA",'Emission factors'!F35,G35))</f>
        <v>5.6999999999999886</v>
      </c>
      <c r="D35" s="13"/>
      <c r="E35">
        <f t="shared" si="4"/>
        <v>5.6999999999999886</v>
      </c>
      <c r="F35">
        <f t="shared" si="5"/>
        <v>5.5999999999999943</v>
      </c>
      <c r="G35" s="24">
        <f t="shared" si="6"/>
        <v>4.8072566666666603</v>
      </c>
      <c r="I35" s="13">
        <f t="shared" ref="I35:I52" si="30">AH36-AH35</f>
        <v>38.299999999999955</v>
      </c>
      <c r="J35" s="13">
        <f t="shared" si="18"/>
        <v>25</v>
      </c>
      <c r="K35" s="13">
        <f t="shared" si="19"/>
        <v>26</v>
      </c>
      <c r="L35" s="13">
        <f t="shared" si="20"/>
        <v>24</v>
      </c>
      <c r="M35" s="13">
        <f t="shared" si="20"/>
        <v>25</v>
      </c>
      <c r="N35" s="13">
        <f t="shared" si="21"/>
        <v>26</v>
      </c>
      <c r="O35" s="13">
        <f t="shared" si="22"/>
        <v>27</v>
      </c>
      <c r="P35" s="13">
        <f t="shared" si="23"/>
        <v>26</v>
      </c>
      <c r="Q35" s="13">
        <f t="shared" si="24"/>
        <v>29</v>
      </c>
      <c r="R35" s="13">
        <f t="shared" si="25"/>
        <v>29</v>
      </c>
      <c r="S35" s="13">
        <f t="shared" si="29"/>
        <v>37.599999999999909</v>
      </c>
      <c r="T35" s="13">
        <f t="shared" si="27"/>
        <v>13</v>
      </c>
      <c r="U35">
        <v>959.3</v>
      </c>
      <c r="V35">
        <v>440</v>
      </c>
      <c r="W35" s="13">
        <f t="shared" si="28"/>
        <v>27</v>
      </c>
      <c r="X35">
        <v>572</v>
      </c>
      <c r="Y35">
        <v>905</v>
      </c>
      <c r="Z35">
        <v>865</v>
      </c>
      <c r="AA35">
        <v>804</v>
      </c>
      <c r="AB35">
        <v>912</v>
      </c>
      <c r="AC35">
        <v>903</v>
      </c>
      <c r="AD35">
        <v>745</v>
      </c>
      <c r="AE35">
        <v>621</v>
      </c>
      <c r="AF35">
        <v>732</v>
      </c>
      <c r="AG35">
        <v>820</v>
      </c>
      <c r="AH35" s="13">
        <v>1206.5</v>
      </c>
      <c r="AJ35">
        <v>270.60000000000002</v>
      </c>
      <c r="AK35" s="13">
        <v>238.6</v>
      </c>
      <c r="AL35" s="24">
        <v>309.1807304522751</v>
      </c>
    </row>
    <row r="36" spans="1:38" x14ac:dyDescent="0.35">
      <c r="A36" s="48">
        <f t="shared" si="17"/>
        <v>34</v>
      </c>
      <c r="B36" s="50">
        <f>IF(Assumptions!E$22="FMA",'Emission factors'!I36,IF(Assumptions!E$26='Harvest calc'!$J$16,'Emission factors'!J36,IF(Assumptions!E$26='Harvest calc'!$J$17,'Emission factors'!K36,IF(Assumptions!E$26='Harvest calc'!$J$18,'Emission factors'!L36,IF(Assumptions!E$26='Harvest calc'!$J$19,'Emission factors'!M36,IF(Assumptions!E$26='Harvest calc'!$J$20,'Emission factors'!N36,IF(Assumptions!E$26='Harvest calc'!$J$21,'Emission factors'!O36,IF(Assumptions!E$26='Harvest calc'!$J$22,'Emission factors'!P36,IF(Assumptions!E$26='Harvest calc'!$J$23,'Emission factors'!Q36,IF(Assumptions!E$26='Harvest calc'!$J$24,'Emission factors'!R36))))))))))</f>
        <v>25</v>
      </c>
      <c r="C36" s="13">
        <f>IF(Assumptions!E$23="Default",'Emission factors'!E36,IF(Assumptions!E$23="FMA",'Emission factors'!F36,G36))</f>
        <v>5.3000000000000114</v>
      </c>
      <c r="D36" s="13"/>
      <c r="E36">
        <f t="shared" si="4"/>
        <v>5.3000000000000114</v>
      </c>
      <c r="F36">
        <f t="shared" si="5"/>
        <v>6.1000000000000227</v>
      </c>
      <c r="G36" s="24">
        <f t="shared" si="6"/>
        <v>4.4703999999999837</v>
      </c>
      <c r="I36" s="13">
        <f t="shared" si="30"/>
        <v>37.600000000000136</v>
      </c>
      <c r="J36" s="13">
        <f t="shared" si="18"/>
        <v>24</v>
      </c>
      <c r="K36" s="13">
        <f t="shared" si="19"/>
        <v>25</v>
      </c>
      <c r="L36" s="13">
        <f t="shared" si="20"/>
        <v>23</v>
      </c>
      <c r="M36" s="13">
        <f t="shared" si="20"/>
        <v>24</v>
      </c>
      <c r="N36" s="13">
        <f t="shared" si="21"/>
        <v>24</v>
      </c>
      <c r="O36" s="13">
        <f t="shared" si="22"/>
        <v>27</v>
      </c>
      <c r="P36" s="13">
        <f t="shared" si="23"/>
        <v>25</v>
      </c>
      <c r="Q36" s="13">
        <f t="shared" si="24"/>
        <v>28</v>
      </c>
      <c r="R36" s="13">
        <f t="shared" si="25"/>
        <v>29</v>
      </c>
      <c r="S36" s="13">
        <f t="shared" si="29"/>
        <v>36.900000000000091</v>
      </c>
      <c r="T36" s="13">
        <f t="shared" si="27"/>
        <v>12</v>
      </c>
      <c r="U36">
        <v>996.2</v>
      </c>
      <c r="V36">
        <v>452</v>
      </c>
      <c r="W36" s="13">
        <f t="shared" si="28"/>
        <v>25</v>
      </c>
      <c r="X36">
        <v>597</v>
      </c>
      <c r="Y36">
        <v>930</v>
      </c>
      <c r="Z36">
        <v>891</v>
      </c>
      <c r="AA36">
        <v>828</v>
      </c>
      <c r="AB36">
        <v>937</v>
      </c>
      <c r="AC36">
        <v>929</v>
      </c>
      <c r="AD36">
        <v>772</v>
      </c>
      <c r="AE36">
        <v>647</v>
      </c>
      <c r="AF36">
        <v>761</v>
      </c>
      <c r="AG36">
        <v>849</v>
      </c>
      <c r="AH36" s="13">
        <v>1244.8</v>
      </c>
      <c r="AJ36">
        <v>276.3</v>
      </c>
      <c r="AK36" s="13">
        <v>244.2</v>
      </c>
      <c r="AL36" s="24">
        <v>313.98798711894176</v>
      </c>
    </row>
    <row r="37" spans="1:38" x14ac:dyDescent="0.35">
      <c r="A37" s="48">
        <f t="shared" si="17"/>
        <v>35</v>
      </c>
      <c r="B37" s="50">
        <f>IF(Assumptions!E$22="FMA",'Emission factors'!I37,IF(Assumptions!E$26='Harvest calc'!$J$16,'Emission factors'!J37,IF(Assumptions!E$26='Harvest calc'!$J$17,'Emission factors'!K37,IF(Assumptions!E$26='Harvest calc'!$J$18,'Emission factors'!L37,IF(Assumptions!E$26='Harvest calc'!$J$19,'Emission factors'!M37,IF(Assumptions!E$26='Harvest calc'!$J$20,'Emission factors'!N37,IF(Assumptions!E$26='Harvest calc'!$J$21,'Emission factors'!O37,IF(Assumptions!E$26='Harvest calc'!$J$22,'Emission factors'!P37,IF(Assumptions!E$26='Harvest calc'!$J$23,'Emission factors'!Q37,IF(Assumptions!E$26='Harvest calc'!$J$24,'Emission factors'!R37))))))))))</f>
        <v>25</v>
      </c>
      <c r="C37" s="13">
        <f>IF(Assumptions!E$23="Default",'Emission factors'!E37,IF(Assumptions!E$23="FMA",'Emission factors'!F37,G37))</f>
        <v>4.8999999999999773</v>
      </c>
      <c r="D37" s="13"/>
      <c r="E37">
        <f t="shared" si="4"/>
        <v>4.8999999999999773</v>
      </c>
      <c r="F37">
        <f t="shared" si="5"/>
        <v>5.1999999999999886</v>
      </c>
      <c r="G37" s="24">
        <f t="shared" si="6"/>
        <v>4.1650766666666641</v>
      </c>
      <c r="I37" s="13">
        <f t="shared" si="30"/>
        <v>36.799999999999955</v>
      </c>
      <c r="J37" s="13">
        <f t="shared" si="18"/>
        <v>23</v>
      </c>
      <c r="K37" s="13">
        <f t="shared" si="19"/>
        <v>25</v>
      </c>
      <c r="L37" s="13">
        <f t="shared" si="20"/>
        <v>22</v>
      </c>
      <c r="M37" s="13">
        <f t="shared" si="20"/>
        <v>24</v>
      </c>
      <c r="N37" s="13">
        <f t="shared" si="21"/>
        <v>25</v>
      </c>
      <c r="O37" s="13">
        <f t="shared" si="22"/>
        <v>26</v>
      </c>
      <c r="P37" s="13">
        <f t="shared" si="23"/>
        <v>25</v>
      </c>
      <c r="Q37" s="13">
        <f t="shared" si="24"/>
        <v>28</v>
      </c>
      <c r="R37" s="13">
        <f t="shared" si="25"/>
        <v>28</v>
      </c>
      <c r="S37" s="13">
        <f t="shared" si="29"/>
        <v>36.299999999999955</v>
      </c>
      <c r="T37" s="13">
        <f t="shared" si="27"/>
        <v>13</v>
      </c>
      <c r="U37">
        <v>1032.5</v>
      </c>
      <c r="V37">
        <v>465</v>
      </c>
      <c r="W37" s="13">
        <f t="shared" si="28"/>
        <v>28</v>
      </c>
      <c r="X37">
        <v>625</v>
      </c>
      <c r="Y37">
        <v>954</v>
      </c>
      <c r="Z37">
        <v>916</v>
      </c>
      <c r="AA37">
        <v>851</v>
      </c>
      <c r="AB37">
        <v>961</v>
      </c>
      <c r="AC37">
        <v>953</v>
      </c>
      <c r="AD37">
        <v>799</v>
      </c>
      <c r="AE37">
        <v>672</v>
      </c>
      <c r="AF37">
        <v>789</v>
      </c>
      <c r="AG37">
        <v>878</v>
      </c>
      <c r="AH37" s="13">
        <v>1282.4000000000001</v>
      </c>
      <c r="AJ37">
        <v>281.60000000000002</v>
      </c>
      <c r="AK37" s="13">
        <v>250.3</v>
      </c>
      <c r="AL37" s="24">
        <v>318.45838711894174</v>
      </c>
    </row>
    <row r="38" spans="1:38" x14ac:dyDescent="0.35">
      <c r="A38" s="48">
        <f t="shared" si="17"/>
        <v>36</v>
      </c>
      <c r="B38" s="50">
        <f>IF(Assumptions!E$22="FMA",'Emission factors'!I38,IF(Assumptions!E$26='Harvest calc'!$J$16,'Emission factors'!J38,IF(Assumptions!E$26='Harvest calc'!$J$17,'Emission factors'!K38,IF(Assumptions!E$26='Harvest calc'!$J$18,'Emission factors'!L38,IF(Assumptions!E$26='Harvest calc'!$J$19,'Emission factors'!M38,IF(Assumptions!E$26='Harvest calc'!$J$20,'Emission factors'!N38,IF(Assumptions!E$26='Harvest calc'!$J$21,'Emission factors'!O38,IF(Assumptions!E$26='Harvest calc'!$J$22,'Emission factors'!P38,IF(Assumptions!E$26='Harvest calc'!$J$23,'Emission factors'!Q38,IF(Assumptions!E$26='Harvest calc'!$J$24,'Emission factors'!R38))))))))))</f>
        <v>25</v>
      </c>
      <c r="C38" s="13">
        <f>IF(Assumptions!E$23="Default",'Emission factors'!E38,IF(Assumptions!E$23="FMA",'Emission factors'!F38,G38))</f>
        <v>4.3999999999999773</v>
      </c>
      <c r="D38" s="13"/>
      <c r="E38">
        <f t="shared" si="4"/>
        <v>4.3999999999999773</v>
      </c>
      <c r="F38">
        <f t="shared" si="5"/>
        <v>5.1999999999999886</v>
      </c>
      <c r="G38" s="24">
        <f t="shared" si="6"/>
        <v>3.8897466666667242</v>
      </c>
      <c r="I38" s="13">
        <f t="shared" si="30"/>
        <v>36</v>
      </c>
      <c r="J38" s="13">
        <f t="shared" si="18"/>
        <v>23</v>
      </c>
      <c r="K38" s="13">
        <f t="shared" si="19"/>
        <v>24</v>
      </c>
      <c r="L38" s="13">
        <f t="shared" si="20"/>
        <v>23</v>
      </c>
      <c r="M38" s="13">
        <f t="shared" si="20"/>
        <v>24</v>
      </c>
      <c r="N38" s="13">
        <f t="shared" si="21"/>
        <v>24</v>
      </c>
      <c r="O38" s="13">
        <f t="shared" si="22"/>
        <v>25</v>
      </c>
      <c r="P38" s="13">
        <f t="shared" si="23"/>
        <v>25</v>
      </c>
      <c r="Q38" s="13">
        <f t="shared" si="24"/>
        <v>28</v>
      </c>
      <c r="R38" s="13">
        <f t="shared" si="25"/>
        <v>28</v>
      </c>
      <c r="S38" s="13">
        <f t="shared" si="29"/>
        <v>35.700000000000045</v>
      </c>
      <c r="T38" s="13">
        <f t="shared" si="27"/>
        <v>12</v>
      </c>
      <c r="U38">
        <v>1068.2</v>
      </c>
      <c r="V38">
        <v>477</v>
      </c>
      <c r="W38" s="13">
        <f t="shared" si="28"/>
        <v>25</v>
      </c>
      <c r="X38">
        <v>650</v>
      </c>
      <c r="Y38">
        <v>977</v>
      </c>
      <c r="Z38">
        <v>941</v>
      </c>
      <c r="AA38">
        <v>873</v>
      </c>
      <c r="AB38">
        <v>985</v>
      </c>
      <c r="AC38">
        <v>978</v>
      </c>
      <c r="AD38">
        <v>825</v>
      </c>
      <c r="AE38">
        <v>697</v>
      </c>
      <c r="AF38">
        <v>817</v>
      </c>
      <c r="AG38">
        <v>906</v>
      </c>
      <c r="AH38" s="13">
        <v>1319.2</v>
      </c>
      <c r="AJ38">
        <v>286.5</v>
      </c>
      <c r="AK38" s="13">
        <v>255.5</v>
      </c>
      <c r="AL38" s="24">
        <v>322.62346378560841</v>
      </c>
    </row>
    <row r="39" spans="1:38" x14ac:dyDescent="0.35">
      <c r="A39" s="48">
        <f t="shared" si="17"/>
        <v>37</v>
      </c>
      <c r="B39" s="50">
        <f>IF(Assumptions!E$22="FMA",'Emission factors'!I39,IF(Assumptions!E$26='Harvest calc'!$J$16,'Emission factors'!J39,IF(Assumptions!E$26='Harvest calc'!$J$17,'Emission factors'!K39,IF(Assumptions!E$26='Harvest calc'!$J$18,'Emission factors'!L39,IF(Assumptions!E$26='Harvest calc'!$J$19,'Emission factors'!M39,IF(Assumptions!E$26='Harvest calc'!$J$20,'Emission factors'!N39,IF(Assumptions!E$26='Harvest calc'!$J$21,'Emission factors'!O39,IF(Assumptions!E$26='Harvest calc'!$J$22,'Emission factors'!P39,IF(Assumptions!E$26='Harvest calc'!$J$23,'Emission factors'!Q39,IF(Assumptions!E$26='Harvest calc'!$J$24,'Emission factors'!R39))))))))))</f>
        <v>24</v>
      </c>
      <c r="C39" s="13">
        <f>IF(Assumptions!E$23="Default",'Emission factors'!E39,IF(Assumptions!E$23="FMA",'Emission factors'!F39,G39))</f>
        <v>4.1000000000000227</v>
      </c>
      <c r="D39" s="13"/>
      <c r="E39">
        <f t="shared" si="4"/>
        <v>4.1000000000000227</v>
      </c>
      <c r="F39">
        <f t="shared" si="5"/>
        <v>4.3000000000000114</v>
      </c>
      <c r="G39" s="24">
        <f t="shared" si="6"/>
        <v>3.6428699999999594</v>
      </c>
      <c r="I39" s="13">
        <f t="shared" si="30"/>
        <v>35.299999999999955</v>
      </c>
      <c r="J39" s="13">
        <f t="shared" si="18"/>
        <v>22</v>
      </c>
      <c r="K39" s="13">
        <f t="shared" si="19"/>
        <v>25</v>
      </c>
      <c r="L39" s="13">
        <f t="shared" si="20"/>
        <v>21</v>
      </c>
      <c r="M39" s="13">
        <f t="shared" si="20"/>
        <v>23</v>
      </c>
      <c r="N39" s="13">
        <f t="shared" si="21"/>
        <v>24</v>
      </c>
      <c r="O39" s="13">
        <f t="shared" si="22"/>
        <v>25</v>
      </c>
      <c r="P39" s="13">
        <f t="shared" si="23"/>
        <v>24</v>
      </c>
      <c r="Q39" s="13">
        <f t="shared" si="24"/>
        <v>27</v>
      </c>
      <c r="R39" s="13">
        <f t="shared" si="25"/>
        <v>28</v>
      </c>
      <c r="S39" s="13">
        <f t="shared" si="29"/>
        <v>34.899999999999864</v>
      </c>
      <c r="T39" s="13">
        <f t="shared" si="27"/>
        <v>12</v>
      </c>
      <c r="U39">
        <v>1103.0999999999999</v>
      </c>
      <c r="V39">
        <v>489</v>
      </c>
      <c r="W39" s="13">
        <f t="shared" si="28"/>
        <v>29</v>
      </c>
      <c r="X39">
        <v>679</v>
      </c>
      <c r="Y39">
        <v>1000</v>
      </c>
      <c r="Z39">
        <v>965</v>
      </c>
      <c r="AA39">
        <v>896</v>
      </c>
      <c r="AB39">
        <v>1009</v>
      </c>
      <c r="AC39">
        <v>1002</v>
      </c>
      <c r="AD39">
        <v>850</v>
      </c>
      <c r="AE39">
        <v>722</v>
      </c>
      <c r="AF39">
        <v>845</v>
      </c>
      <c r="AG39">
        <v>934</v>
      </c>
      <c r="AH39" s="13">
        <v>1355.2</v>
      </c>
      <c r="AJ39">
        <v>290.89999999999998</v>
      </c>
      <c r="AK39" s="13">
        <v>260.7</v>
      </c>
      <c r="AL39" s="24">
        <v>326.51321045227513</v>
      </c>
    </row>
    <row r="40" spans="1:38" x14ac:dyDescent="0.35">
      <c r="A40" s="48">
        <f t="shared" si="17"/>
        <v>38</v>
      </c>
      <c r="B40" s="50">
        <f>IF(Assumptions!E$22="FMA",'Emission factors'!I40,IF(Assumptions!E$26='Harvest calc'!$J$16,'Emission factors'!J40,IF(Assumptions!E$26='Harvest calc'!$J$17,'Emission factors'!K40,IF(Assumptions!E$26='Harvest calc'!$J$18,'Emission factors'!L40,IF(Assumptions!E$26='Harvest calc'!$J$19,'Emission factors'!M40,IF(Assumptions!E$26='Harvest calc'!$J$20,'Emission factors'!N40,IF(Assumptions!E$26='Harvest calc'!$J$21,'Emission factors'!O40,IF(Assumptions!E$26='Harvest calc'!$J$22,'Emission factors'!P40,IF(Assumptions!E$26='Harvest calc'!$J$23,'Emission factors'!Q40,IF(Assumptions!E$26='Harvest calc'!$J$24,'Emission factors'!R40))))))))))</f>
        <v>24</v>
      </c>
      <c r="C40" s="13">
        <f>IF(Assumptions!E$23="Default",'Emission factors'!E40,IF(Assumptions!E$23="FMA",'Emission factors'!F40,G40))</f>
        <v>3.6999999999999886</v>
      </c>
      <c r="D40" s="13"/>
      <c r="E40">
        <f t="shared" si="4"/>
        <v>3.6999999999999886</v>
      </c>
      <c r="F40">
        <f t="shared" si="5"/>
        <v>5</v>
      </c>
      <c r="G40" s="24">
        <f t="shared" si="6"/>
        <v>3.4229066666666768</v>
      </c>
      <c r="I40" s="13">
        <f t="shared" si="30"/>
        <v>34.700000000000045</v>
      </c>
      <c r="J40" s="13">
        <f t="shared" si="18"/>
        <v>22</v>
      </c>
      <c r="K40" s="13">
        <f t="shared" si="19"/>
        <v>23</v>
      </c>
      <c r="L40" s="13">
        <f t="shared" si="20"/>
        <v>21</v>
      </c>
      <c r="M40" s="13">
        <f t="shared" si="20"/>
        <v>23</v>
      </c>
      <c r="N40" s="13">
        <f t="shared" si="21"/>
        <v>24</v>
      </c>
      <c r="O40" s="13">
        <f t="shared" si="22"/>
        <v>25</v>
      </c>
      <c r="P40" s="13">
        <f t="shared" si="23"/>
        <v>24</v>
      </c>
      <c r="Q40" s="13">
        <f t="shared" si="24"/>
        <v>27</v>
      </c>
      <c r="R40" s="13">
        <f t="shared" si="25"/>
        <v>27</v>
      </c>
      <c r="S40" s="13">
        <f t="shared" si="29"/>
        <v>34.100000000000136</v>
      </c>
      <c r="T40" s="13">
        <f t="shared" si="27"/>
        <v>12</v>
      </c>
      <c r="U40">
        <v>1137.2</v>
      </c>
      <c r="V40">
        <v>501</v>
      </c>
      <c r="W40" s="13">
        <f t="shared" si="28"/>
        <v>25</v>
      </c>
      <c r="X40">
        <v>704</v>
      </c>
      <c r="Y40">
        <v>1022</v>
      </c>
      <c r="Z40">
        <v>990</v>
      </c>
      <c r="AA40">
        <v>917</v>
      </c>
      <c r="AB40">
        <v>1032</v>
      </c>
      <c r="AC40">
        <v>1026</v>
      </c>
      <c r="AD40">
        <v>875</v>
      </c>
      <c r="AE40">
        <v>746</v>
      </c>
      <c r="AF40">
        <v>872</v>
      </c>
      <c r="AG40">
        <v>962</v>
      </c>
      <c r="AH40" s="13">
        <v>1390.5</v>
      </c>
      <c r="AJ40">
        <v>295</v>
      </c>
      <c r="AK40" s="13">
        <v>265</v>
      </c>
      <c r="AL40" s="24">
        <v>330.15608045227509</v>
      </c>
    </row>
    <row r="41" spans="1:38" x14ac:dyDescent="0.35">
      <c r="A41" s="48">
        <f t="shared" si="17"/>
        <v>39</v>
      </c>
      <c r="B41" s="50">
        <f>IF(Assumptions!E$22="FMA",'Emission factors'!I41,IF(Assumptions!E$26='Harvest calc'!$J$16,'Emission factors'!J41,IF(Assumptions!E$26='Harvest calc'!$J$17,'Emission factors'!K41,IF(Assumptions!E$26='Harvest calc'!$J$18,'Emission factors'!L41,IF(Assumptions!E$26='Harvest calc'!$J$19,'Emission factors'!M41,IF(Assumptions!E$26='Harvest calc'!$J$20,'Emission factors'!N41,IF(Assumptions!E$26='Harvest calc'!$J$21,'Emission factors'!O41,IF(Assumptions!E$26='Harvest calc'!$J$22,'Emission factors'!P41,IF(Assumptions!E$26='Harvest calc'!$J$23,'Emission factors'!Q41,IF(Assumptions!E$26='Harvest calc'!$J$24,'Emission factors'!R41))))))))))</f>
        <v>23</v>
      </c>
      <c r="C41" s="13">
        <f>IF(Assumptions!E$23="Default",'Emission factors'!E41,IF(Assumptions!E$23="FMA",'Emission factors'!F41,G41))</f>
        <v>3.3000000000000114</v>
      </c>
      <c r="D41" s="13"/>
      <c r="E41">
        <f t="shared" si="4"/>
        <v>3.3000000000000114</v>
      </c>
      <c r="F41">
        <f t="shared" si="5"/>
        <v>4.1000000000000227</v>
      </c>
      <c r="G41" s="24">
        <f t="shared" si="6"/>
        <v>3.2283166666666716</v>
      </c>
      <c r="I41" s="13">
        <f t="shared" si="30"/>
        <v>34.099999999999909</v>
      </c>
      <c r="J41" s="13">
        <f t="shared" si="18"/>
        <v>22</v>
      </c>
      <c r="K41" s="13">
        <f t="shared" si="19"/>
        <v>24</v>
      </c>
      <c r="L41" s="13">
        <f t="shared" si="20"/>
        <v>21</v>
      </c>
      <c r="M41" s="13">
        <f t="shared" si="20"/>
        <v>24</v>
      </c>
      <c r="N41" s="13">
        <f t="shared" si="21"/>
        <v>23</v>
      </c>
      <c r="O41" s="13">
        <f t="shared" si="22"/>
        <v>24</v>
      </c>
      <c r="P41" s="13">
        <f t="shared" si="23"/>
        <v>23</v>
      </c>
      <c r="Q41" s="13">
        <f t="shared" si="24"/>
        <v>26</v>
      </c>
      <c r="R41" s="13">
        <f t="shared" si="25"/>
        <v>27</v>
      </c>
      <c r="S41" s="13">
        <f t="shared" si="29"/>
        <v>33.5</v>
      </c>
      <c r="T41" s="13">
        <f t="shared" si="27"/>
        <v>11</v>
      </c>
      <c r="U41">
        <v>1170.7</v>
      </c>
      <c r="V41">
        <v>512</v>
      </c>
      <c r="W41" s="13">
        <f t="shared" si="28"/>
        <v>26</v>
      </c>
      <c r="X41">
        <v>730</v>
      </c>
      <c r="Y41">
        <v>1044</v>
      </c>
      <c r="Z41">
        <v>1013</v>
      </c>
      <c r="AA41">
        <v>938</v>
      </c>
      <c r="AB41">
        <v>1055</v>
      </c>
      <c r="AC41">
        <v>1050</v>
      </c>
      <c r="AD41">
        <v>900</v>
      </c>
      <c r="AE41">
        <v>770</v>
      </c>
      <c r="AF41">
        <v>899</v>
      </c>
      <c r="AG41">
        <v>989</v>
      </c>
      <c r="AH41" s="13">
        <v>1425.2</v>
      </c>
      <c r="AJ41">
        <v>298.7</v>
      </c>
      <c r="AK41" s="13">
        <v>270</v>
      </c>
      <c r="AL41" s="24">
        <v>333.57898711894177</v>
      </c>
    </row>
    <row r="42" spans="1:38" x14ac:dyDescent="0.35">
      <c r="A42" s="48">
        <f t="shared" si="17"/>
        <v>40</v>
      </c>
      <c r="B42" s="50">
        <f>IF(Assumptions!E$22="FMA",'Emission factors'!I42,IF(Assumptions!E$26='Harvest calc'!$J$16,'Emission factors'!J42,IF(Assumptions!E$26='Harvest calc'!$J$17,'Emission factors'!K42,IF(Assumptions!E$26='Harvest calc'!$J$18,'Emission factors'!L42,IF(Assumptions!E$26='Harvest calc'!$J$19,'Emission factors'!M42,IF(Assumptions!E$26='Harvest calc'!$J$20,'Emission factors'!N42,IF(Assumptions!E$26='Harvest calc'!$J$21,'Emission factors'!O42,IF(Assumptions!E$26='Harvest calc'!$J$22,'Emission factors'!P42,IF(Assumptions!E$26='Harvest calc'!$J$23,'Emission factors'!Q42,IF(Assumptions!E$26='Harvest calc'!$J$24,'Emission factors'!R42))))))))))</f>
        <v>23</v>
      </c>
      <c r="C42" s="13">
        <f>IF(Assumptions!E$23="Default",'Emission factors'!E42,IF(Assumptions!E$23="FMA",'Emission factors'!F42,G42))</f>
        <v>3.1000000000000227</v>
      </c>
      <c r="D42" s="13"/>
      <c r="E42">
        <f t="shared" si="4"/>
        <v>3.1000000000000227</v>
      </c>
      <c r="F42">
        <f t="shared" si="5"/>
        <v>3.6999999999999886</v>
      </c>
      <c r="G42" s="24">
        <f t="shared" si="6"/>
        <v>3.0575599999999667</v>
      </c>
      <c r="I42" s="13">
        <f t="shared" si="30"/>
        <v>33.600000000000136</v>
      </c>
      <c r="J42" s="13">
        <f t="shared" si="18"/>
        <v>22</v>
      </c>
      <c r="K42" s="13">
        <f t="shared" si="19"/>
        <v>23</v>
      </c>
      <c r="L42" s="13">
        <f t="shared" si="20"/>
        <v>21</v>
      </c>
      <c r="M42" s="13">
        <f t="shared" si="20"/>
        <v>23</v>
      </c>
      <c r="N42" s="13">
        <f t="shared" si="21"/>
        <v>24</v>
      </c>
      <c r="O42" s="13">
        <f t="shared" si="22"/>
        <v>23</v>
      </c>
      <c r="P42" s="13">
        <f t="shared" si="23"/>
        <v>23</v>
      </c>
      <c r="Q42" s="13">
        <f t="shared" si="24"/>
        <v>26</v>
      </c>
      <c r="R42" s="13">
        <f t="shared" si="25"/>
        <v>27</v>
      </c>
      <c r="S42" s="13">
        <f t="shared" si="29"/>
        <v>32.799999999999955</v>
      </c>
      <c r="T42" s="13">
        <f t="shared" si="27"/>
        <v>12</v>
      </c>
      <c r="U42">
        <v>1203.5</v>
      </c>
      <c r="V42">
        <v>524</v>
      </c>
      <c r="W42" s="13">
        <f t="shared" si="28"/>
        <v>0</v>
      </c>
      <c r="X42">
        <v>730</v>
      </c>
      <c r="Y42">
        <v>1066</v>
      </c>
      <c r="Z42">
        <v>1037</v>
      </c>
      <c r="AA42">
        <v>959</v>
      </c>
      <c r="AB42">
        <v>1079</v>
      </c>
      <c r="AC42">
        <v>1073</v>
      </c>
      <c r="AD42">
        <v>924</v>
      </c>
      <c r="AE42">
        <v>793</v>
      </c>
      <c r="AF42">
        <v>925</v>
      </c>
      <c r="AG42">
        <v>1016</v>
      </c>
      <c r="AH42" s="13">
        <v>1459.3</v>
      </c>
      <c r="AJ42">
        <v>302</v>
      </c>
      <c r="AK42" s="13">
        <v>274.10000000000002</v>
      </c>
      <c r="AL42" s="24">
        <v>336.80730378560844</v>
      </c>
    </row>
    <row r="43" spans="1:38" x14ac:dyDescent="0.35">
      <c r="A43" s="48">
        <f t="shared" si="17"/>
        <v>41</v>
      </c>
      <c r="B43" s="50">
        <f>IF(Assumptions!E$22="FMA",'Emission factors'!I43,IF(Assumptions!E$26='Harvest calc'!$J$16,'Emission factors'!J43,IF(Assumptions!E$26='Harvest calc'!$J$17,'Emission factors'!K43,IF(Assumptions!E$26='Harvest calc'!$J$18,'Emission factors'!L43,IF(Assumptions!E$26='Harvest calc'!$J$19,'Emission factors'!M43,IF(Assumptions!E$26='Harvest calc'!$J$20,'Emission factors'!N43,IF(Assumptions!E$26='Harvest calc'!$J$21,'Emission factors'!O43,IF(Assumptions!E$26='Harvest calc'!$J$22,'Emission factors'!P43,IF(Assumptions!E$26='Harvest calc'!$J$23,'Emission factors'!Q43,IF(Assumptions!E$26='Harvest calc'!$J$24,'Emission factors'!R43))))))))))</f>
        <v>23</v>
      </c>
      <c r="C43" s="13">
        <f>IF(Assumptions!E$23="Default",'Emission factors'!E43,IF(Assumptions!E$23="FMA",'Emission factors'!F43,G43))</f>
        <v>2.6999999999999886</v>
      </c>
      <c r="D43" s="13"/>
      <c r="E43">
        <f t="shared" si="4"/>
        <v>2.6999999999999886</v>
      </c>
      <c r="F43">
        <f t="shared" si="5"/>
        <v>4</v>
      </c>
      <c r="G43" s="24">
        <f t="shared" si="6"/>
        <v>2.9090966666666986</v>
      </c>
      <c r="I43" s="13">
        <f t="shared" si="30"/>
        <v>33.199999999999818</v>
      </c>
      <c r="J43" s="13">
        <f t="shared" si="18"/>
        <v>22</v>
      </c>
      <c r="K43" s="13">
        <f t="shared" si="19"/>
        <v>23</v>
      </c>
      <c r="L43" s="13">
        <f t="shared" si="20"/>
        <v>21</v>
      </c>
      <c r="M43" s="13">
        <f t="shared" si="20"/>
        <v>23</v>
      </c>
      <c r="N43" s="13">
        <f t="shared" si="21"/>
        <v>24</v>
      </c>
      <c r="O43" s="13">
        <f t="shared" si="22"/>
        <v>24</v>
      </c>
      <c r="P43" s="13">
        <f t="shared" si="23"/>
        <v>23</v>
      </c>
      <c r="Q43" s="13">
        <f t="shared" si="24"/>
        <v>27</v>
      </c>
      <c r="R43" s="13">
        <f t="shared" si="25"/>
        <v>27</v>
      </c>
      <c r="S43" s="13">
        <f t="shared" si="29"/>
        <v>32.099999999999909</v>
      </c>
      <c r="T43" s="13">
        <f t="shared" si="27"/>
        <v>12</v>
      </c>
      <c r="U43">
        <v>1235.5999999999999</v>
      </c>
      <c r="V43">
        <v>536</v>
      </c>
      <c r="W43" s="13">
        <f t="shared" si="28"/>
        <v>21</v>
      </c>
      <c r="X43">
        <v>751</v>
      </c>
      <c r="Y43">
        <v>1088</v>
      </c>
      <c r="Z43">
        <v>1060</v>
      </c>
      <c r="AA43">
        <v>980</v>
      </c>
      <c r="AB43">
        <v>1102</v>
      </c>
      <c r="AC43">
        <v>1097</v>
      </c>
      <c r="AD43">
        <v>947</v>
      </c>
      <c r="AE43">
        <v>816</v>
      </c>
      <c r="AF43">
        <v>951</v>
      </c>
      <c r="AG43">
        <v>1043</v>
      </c>
      <c r="AH43" s="13">
        <v>1492.9</v>
      </c>
      <c r="AJ43">
        <v>305.10000000000002</v>
      </c>
      <c r="AK43" s="13">
        <v>277.8</v>
      </c>
      <c r="AL43" s="24">
        <v>339.86486378560841</v>
      </c>
    </row>
    <row r="44" spans="1:38" x14ac:dyDescent="0.35">
      <c r="A44" s="48">
        <f t="shared" si="17"/>
        <v>42</v>
      </c>
      <c r="B44" s="50">
        <f>IF(Assumptions!E$22="FMA",'Emission factors'!I44,IF(Assumptions!E$26='Harvest calc'!$J$16,'Emission factors'!J44,IF(Assumptions!E$26='Harvest calc'!$J$17,'Emission factors'!K44,IF(Assumptions!E$26='Harvest calc'!$J$18,'Emission factors'!L44,IF(Assumptions!E$26='Harvest calc'!$J$19,'Emission factors'!M44,IF(Assumptions!E$26='Harvest calc'!$J$20,'Emission factors'!N44,IF(Assumptions!E$26='Harvest calc'!$J$21,'Emission factors'!O44,IF(Assumptions!E$26='Harvest calc'!$J$22,'Emission factors'!P44,IF(Assumptions!E$26='Harvest calc'!$J$23,'Emission factors'!Q44,IF(Assumptions!E$26='Harvest calc'!$J$24,'Emission factors'!R44))))))))))</f>
        <v>22</v>
      </c>
      <c r="C44" s="13">
        <f>IF(Assumptions!E$23="Default",'Emission factors'!E44,IF(Assumptions!E$23="FMA",'Emission factors'!F44,G44))</f>
        <v>2.5999999999999659</v>
      </c>
      <c r="D44" s="13"/>
      <c r="E44">
        <f t="shared" si="4"/>
        <v>2.5999999999999659</v>
      </c>
      <c r="F44">
        <f t="shared" si="5"/>
        <v>3.5999999999999659</v>
      </c>
      <c r="G44" s="24">
        <f t="shared" si="6"/>
        <v>2.7813866666666058</v>
      </c>
      <c r="I44" s="13">
        <f t="shared" si="30"/>
        <v>32.400000000000091</v>
      </c>
      <c r="J44" s="13">
        <f t="shared" si="18"/>
        <v>22</v>
      </c>
      <c r="K44" s="13">
        <f t="shared" si="19"/>
        <v>23</v>
      </c>
      <c r="L44" s="13">
        <f t="shared" si="20"/>
        <v>20</v>
      </c>
      <c r="M44" s="13">
        <f t="shared" si="20"/>
        <v>23</v>
      </c>
      <c r="N44" s="13">
        <f t="shared" si="21"/>
        <v>23</v>
      </c>
      <c r="O44" s="13">
        <f t="shared" si="22"/>
        <v>23</v>
      </c>
      <c r="P44" s="13">
        <f t="shared" si="23"/>
        <v>22</v>
      </c>
      <c r="Q44" s="13">
        <f t="shared" si="24"/>
        <v>25</v>
      </c>
      <c r="R44" s="13">
        <f t="shared" si="25"/>
        <v>27</v>
      </c>
      <c r="S44" s="13">
        <f t="shared" si="29"/>
        <v>31.200000000000045</v>
      </c>
      <c r="T44" s="13">
        <f t="shared" si="27"/>
        <v>11</v>
      </c>
      <c r="U44">
        <v>1266.8</v>
      </c>
      <c r="V44">
        <v>547</v>
      </c>
      <c r="W44" s="13">
        <f t="shared" si="28"/>
        <v>21</v>
      </c>
      <c r="X44">
        <v>772</v>
      </c>
      <c r="Y44">
        <v>1110</v>
      </c>
      <c r="Z44">
        <v>1083</v>
      </c>
      <c r="AA44">
        <v>1001</v>
      </c>
      <c r="AB44">
        <v>1125</v>
      </c>
      <c r="AC44">
        <v>1121</v>
      </c>
      <c r="AD44">
        <v>971</v>
      </c>
      <c r="AE44">
        <v>839</v>
      </c>
      <c r="AF44">
        <v>978</v>
      </c>
      <c r="AG44">
        <v>1070</v>
      </c>
      <c r="AH44" s="13">
        <v>1526.1</v>
      </c>
      <c r="AJ44">
        <v>307.8</v>
      </c>
      <c r="AK44" s="13">
        <v>281.8</v>
      </c>
      <c r="AL44" s="24">
        <v>342.77396045227511</v>
      </c>
    </row>
    <row r="45" spans="1:38" x14ac:dyDescent="0.35">
      <c r="A45" s="48">
        <f t="shared" si="17"/>
        <v>43</v>
      </c>
      <c r="B45" s="50">
        <f>IF(Assumptions!E$22="FMA",'Emission factors'!I45,IF(Assumptions!E$26='Harvest calc'!$J$16,'Emission factors'!J45,IF(Assumptions!E$26='Harvest calc'!$J$17,'Emission factors'!K45,IF(Assumptions!E$26='Harvest calc'!$J$18,'Emission factors'!L45,IF(Assumptions!E$26='Harvest calc'!$J$19,'Emission factors'!M45,IF(Assumptions!E$26='Harvest calc'!$J$20,'Emission factors'!N45,IF(Assumptions!E$26='Harvest calc'!$J$21,'Emission factors'!O45,IF(Assumptions!E$26='Harvest calc'!$J$22,'Emission factors'!P45,IF(Assumptions!E$26='Harvest calc'!$J$23,'Emission factors'!Q45,IF(Assumptions!E$26='Harvest calc'!$J$24,'Emission factors'!R45))))))))))</f>
        <v>22</v>
      </c>
      <c r="C45" s="13">
        <f>IF(Assumptions!E$23="Default",'Emission factors'!E45,IF(Assumptions!E$23="FMA",'Emission factors'!F45,G45))</f>
        <v>2.2000000000000455</v>
      </c>
      <c r="D45" s="13"/>
      <c r="E45">
        <f t="shared" si="4"/>
        <v>2.2000000000000455</v>
      </c>
      <c r="F45">
        <f t="shared" si="5"/>
        <v>3.4000000000000341</v>
      </c>
      <c r="G45" s="24">
        <f t="shared" si="6"/>
        <v>2.6728900000000522</v>
      </c>
      <c r="I45" s="13">
        <f t="shared" si="30"/>
        <v>31.599999999999909</v>
      </c>
      <c r="J45" s="13">
        <f t="shared" si="18"/>
        <v>22</v>
      </c>
      <c r="K45" s="13">
        <f t="shared" si="19"/>
        <v>24</v>
      </c>
      <c r="L45" s="13">
        <f t="shared" si="20"/>
        <v>21</v>
      </c>
      <c r="M45" s="13">
        <f t="shared" si="20"/>
        <v>24</v>
      </c>
      <c r="N45" s="13">
        <f t="shared" si="21"/>
        <v>24</v>
      </c>
      <c r="O45" s="13">
        <f t="shared" si="22"/>
        <v>22</v>
      </c>
      <c r="P45" s="13">
        <f t="shared" si="23"/>
        <v>22</v>
      </c>
      <c r="Q45" s="13">
        <f t="shared" si="24"/>
        <v>26</v>
      </c>
      <c r="R45" s="13">
        <f t="shared" si="25"/>
        <v>26</v>
      </c>
      <c r="S45" s="13">
        <f t="shared" si="29"/>
        <v>30</v>
      </c>
      <c r="T45" s="13">
        <f t="shared" si="27"/>
        <v>12</v>
      </c>
      <c r="U45">
        <v>1296.8</v>
      </c>
      <c r="V45">
        <v>559</v>
      </c>
      <c r="W45" s="13">
        <f t="shared" si="28"/>
        <v>22</v>
      </c>
      <c r="X45">
        <v>794</v>
      </c>
      <c r="Y45">
        <v>1132</v>
      </c>
      <c r="Z45">
        <v>1106</v>
      </c>
      <c r="AA45">
        <v>1021</v>
      </c>
      <c r="AB45">
        <v>1148</v>
      </c>
      <c r="AC45">
        <v>1144</v>
      </c>
      <c r="AD45">
        <v>994</v>
      </c>
      <c r="AE45">
        <v>861</v>
      </c>
      <c r="AF45">
        <v>1003</v>
      </c>
      <c r="AG45">
        <v>1097</v>
      </c>
      <c r="AH45" s="13">
        <v>1558.5</v>
      </c>
      <c r="AJ45">
        <v>310.39999999999998</v>
      </c>
      <c r="AK45" s="13">
        <v>285.39999999999998</v>
      </c>
      <c r="AL45" s="24">
        <v>345.55534711894171</v>
      </c>
    </row>
    <row r="46" spans="1:38" x14ac:dyDescent="0.35">
      <c r="A46" s="48">
        <f t="shared" si="17"/>
        <v>44</v>
      </c>
      <c r="B46" s="50">
        <f>IF(Assumptions!E$22="FMA",'Emission factors'!I46,IF(Assumptions!E$26='Harvest calc'!$J$16,'Emission factors'!J46,IF(Assumptions!E$26='Harvest calc'!$J$17,'Emission factors'!K46,IF(Assumptions!E$26='Harvest calc'!$J$18,'Emission factors'!L46,IF(Assumptions!E$26='Harvest calc'!$J$19,'Emission factors'!M46,IF(Assumptions!E$26='Harvest calc'!$J$20,'Emission factors'!N46,IF(Assumptions!E$26='Harvest calc'!$J$21,'Emission factors'!O46,IF(Assumptions!E$26='Harvest calc'!$J$22,'Emission factors'!P46,IF(Assumptions!E$26='Harvest calc'!$J$23,'Emission factors'!Q46,IF(Assumptions!E$26='Harvest calc'!$J$24,'Emission factors'!R46))))))))))</f>
        <v>22</v>
      </c>
      <c r="C46" s="13">
        <f>IF(Assumptions!E$23="Default",'Emission factors'!E46,IF(Assumptions!E$23="FMA",'Emission factors'!F46,G46))</f>
        <v>2.0999999999999659</v>
      </c>
      <c r="D46" s="13"/>
      <c r="E46">
        <f t="shared" si="4"/>
        <v>2.0999999999999659</v>
      </c>
      <c r="F46">
        <f t="shared" si="5"/>
        <v>3</v>
      </c>
      <c r="G46" s="24">
        <f t="shared" si="6"/>
        <v>2.5820666666667194</v>
      </c>
      <c r="I46" s="13">
        <f t="shared" si="30"/>
        <v>30.900000000000091</v>
      </c>
      <c r="J46" s="13">
        <f t="shared" si="18"/>
        <v>22</v>
      </c>
      <c r="K46" s="13">
        <f t="shared" si="19"/>
        <v>23</v>
      </c>
      <c r="L46" s="13">
        <f t="shared" si="20"/>
        <v>20</v>
      </c>
      <c r="M46" s="13">
        <f t="shared" si="20"/>
        <v>24</v>
      </c>
      <c r="N46" s="13">
        <f t="shared" si="21"/>
        <v>24</v>
      </c>
      <c r="O46" s="13">
        <f t="shared" si="22"/>
        <v>23</v>
      </c>
      <c r="P46" s="13">
        <f t="shared" si="23"/>
        <v>22</v>
      </c>
      <c r="Q46" s="13">
        <f t="shared" si="24"/>
        <v>25</v>
      </c>
      <c r="R46" s="13">
        <f t="shared" si="25"/>
        <v>26</v>
      </c>
      <c r="S46" s="13">
        <f t="shared" si="29"/>
        <v>29.299999999999955</v>
      </c>
      <c r="T46" s="13">
        <f t="shared" si="27"/>
        <v>11</v>
      </c>
      <c r="U46">
        <v>1326.1</v>
      </c>
      <c r="V46">
        <v>570</v>
      </c>
      <c r="W46" s="13">
        <f t="shared" si="28"/>
        <v>21</v>
      </c>
      <c r="X46">
        <v>815</v>
      </c>
      <c r="Y46">
        <v>1154</v>
      </c>
      <c r="Z46">
        <v>1130</v>
      </c>
      <c r="AA46">
        <v>1042</v>
      </c>
      <c r="AB46">
        <v>1172</v>
      </c>
      <c r="AC46">
        <v>1168</v>
      </c>
      <c r="AD46">
        <v>1016</v>
      </c>
      <c r="AE46">
        <v>883</v>
      </c>
      <c r="AF46">
        <v>1029</v>
      </c>
      <c r="AG46">
        <v>1123</v>
      </c>
      <c r="AH46" s="13">
        <v>1590.1</v>
      </c>
      <c r="AJ46">
        <v>312.60000000000002</v>
      </c>
      <c r="AK46" s="13">
        <v>288.8</v>
      </c>
      <c r="AL46" s="24">
        <v>348.22823711894176</v>
      </c>
    </row>
    <row r="47" spans="1:38" x14ac:dyDescent="0.35">
      <c r="A47" s="48">
        <f t="shared" si="17"/>
        <v>45</v>
      </c>
      <c r="B47" s="50">
        <f>IF(Assumptions!E$22="FMA",'Emission factors'!I47,IF(Assumptions!E$26='Harvest calc'!$J$16,'Emission factors'!J47,IF(Assumptions!E$26='Harvest calc'!$J$17,'Emission factors'!K47,IF(Assumptions!E$26='Harvest calc'!$J$18,'Emission factors'!L47,IF(Assumptions!E$26='Harvest calc'!$J$19,'Emission factors'!M47,IF(Assumptions!E$26='Harvest calc'!$J$20,'Emission factors'!N47,IF(Assumptions!E$26='Harvest calc'!$J$21,'Emission factors'!O47,IF(Assumptions!E$26='Harvest calc'!$J$22,'Emission factors'!P47,IF(Assumptions!E$26='Harvest calc'!$J$23,'Emission factors'!Q47,IF(Assumptions!E$26='Harvest calc'!$J$24,'Emission factors'!R47))))))))))</f>
        <v>21</v>
      </c>
      <c r="C47" s="13">
        <f>IF(Assumptions!E$23="Default",'Emission factors'!E47,IF(Assumptions!E$23="FMA",'Emission factors'!F47,G47))</f>
        <v>1.8000000000000114</v>
      </c>
      <c r="D47" s="13"/>
      <c r="E47">
        <f t="shared" si="4"/>
        <v>1.8000000000000114</v>
      </c>
      <c r="F47">
        <f t="shared" si="5"/>
        <v>2.8000000000000114</v>
      </c>
      <c r="G47" s="24">
        <f t="shared" si="6"/>
        <v>2.5073766666665733</v>
      </c>
      <c r="I47" s="13">
        <f t="shared" si="30"/>
        <v>30.099999999999909</v>
      </c>
      <c r="J47" s="13">
        <f t="shared" si="18"/>
        <v>22</v>
      </c>
      <c r="K47" s="13">
        <f t="shared" si="19"/>
        <v>23</v>
      </c>
      <c r="L47" s="13">
        <f t="shared" si="20"/>
        <v>20</v>
      </c>
      <c r="M47" s="13">
        <f t="shared" si="20"/>
        <v>24</v>
      </c>
      <c r="N47" s="13">
        <f t="shared" si="21"/>
        <v>25</v>
      </c>
      <c r="O47" s="13">
        <f t="shared" si="22"/>
        <v>22</v>
      </c>
      <c r="P47" s="13">
        <f t="shared" si="23"/>
        <v>21</v>
      </c>
      <c r="Q47" s="13">
        <f t="shared" si="24"/>
        <v>26</v>
      </c>
      <c r="R47" s="13">
        <f t="shared" si="25"/>
        <v>27</v>
      </c>
      <c r="S47" s="13">
        <f t="shared" si="29"/>
        <v>28.200000000000045</v>
      </c>
      <c r="T47" s="13">
        <f t="shared" si="27"/>
        <v>12</v>
      </c>
      <c r="U47">
        <v>1354.3</v>
      </c>
      <c r="V47">
        <v>582</v>
      </c>
      <c r="W47" s="13">
        <f t="shared" si="28"/>
        <v>21</v>
      </c>
      <c r="X47">
        <v>836</v>
      </c>
      <c r="Y47">
        <v>1176</v>
      </c>
      <c r="Z47">
        <v>1153</v>
      </c>
      <c r="AA47">
        <v>1062</v>
      </c>
      <c r="AB47">
        <v>1196</v>
      </c>
      <c r="AC47">
        <v>1192</v>
      </c>
      <c r="AD47">
        <v>1039</v>
      </c>
      <c r="AE47">
        <v>905</v>
      </c>
      <c r="AF47">
        <v>1054</v>
      </c>
      <c r="AG47">
        <v>1149</v>
      </c>
      <c r="AH47" s="13">
        <v>1621</v>
      </c>
      <c r="AJ47">
        <v>314.7</v>
      </c>
      <c r="AK47" s="13">
        <v>291.8</v>
      </c>
      <c r="AL47" s="24">
        <v>350.81030378560848</v>
      </c>
    </row>
    <row r="48" spans="1:38" x14ac:dyDescent="0.35">
      <c r="A48" s="48">
        <f t="shared" si="17"/>
        <v>46</v>
      </c>
      <c r="B48" s="50">
        <f>IF(Assumptions!E$22="FMA",'Emission factors'!I48,IF(Assumptions!E$26='Harvest calc'!$J$16,'Emission factors'!J48,IF(Assumptions!E$26='Harvest calc'!$J$17,'Emission factors'!K48,IF(Assumptions!E$26='Harvest calc'!$J$18,'Emission factors'!L48,IF(Assumptions!E$26='Harvest calc'!$J$19,'Emission factors'!M48,IF(Assumptions!E$26='Harvest calc'!$J$20,'Emission factors'!N48,IF(Assumptions!E$26='Harvest calc'!$J$21,'Emission factors'!O48,IF(Assumptions!E$26='Harvest calc'!$J$22,'Emission factors'!P48,IF(Assumptions!E$26='Harvest calc'!$J$23,'Emission factors'!Q48,IF(Assumptions!E$26='Harvest calc'!$J$24,'Emission factors'!R48))))))))))</f>
        <v>21</v>
      </c>
      <c r="C48" s="13">
        <f>IF(Assumptions!E$23="Default",'Emission factors'!E48,IF(Assumptions!E$23="FMA",'Emission factors'!F48,G48))</f>
        <v>1.6999999999999886</v>
      </c>
      <c r="D48" s="13"/>
      <c r="E48">
        <f t="shared" si="4"/>
        <v>1.6999999999999886</v>
      </c>
      <c r="F48">
        <f t="shared" si="5"/>
        <v>3.1999999999999886</v>
      </c>
      <c r="G48" s="24">
        <f t="shared" si="6"/>
        <v>2.4472800000000348</v>
      </c>
      <c r="I48" s="13">
        <f t="shared" si="30"/>
        <v>29.400000000000091</v>
      </c>
      <c r="J48" s="13">
        <f t="shared" si="18"/>
        <v>22</v>
      </c>
      <c r="K48" s="13">
        <f t="shared" si="19"/>
        <v>23</v>
      </c>
      <c r="L48" s="13">
        <f t="shared" si="20"/>
        <v>21</v>
      </c>
      <c r="M48" s="13">
        <f t="shared" si="20"/>
        <v>24</v>
      </c>
      <c r="N48" s="13">
        <f t="shared" si="21"/>
        <v>25</v>
      </c>
      <c r="O48" s="13">
        <f t="shared" si="22"/>
        <v>22</v>
      </c>
      <c r="P48" s="13">
        <f t="shared" si="23"/>
        <v>21</v>
      </c>
      <c r="Q48" s="13">
        <f t="shared" si="24"/>
        <v>25</v>
      </c>
      <c r="R48" s="13">
        <f t="shared" si="25"/>
        <v>26</v>
      </c>
      <c r="S48" s="13">
        <f t="shared" si="29"/>
        <v>27.299999999999955</v>
      </c>
      <c r="T48" s="13">
        <f t="shared" si="27"/>
        <v>11</v>
      </c>
      <c r="U48">
        <v>1381.6</v>
      </c>
      <c r="V48">
        <v>593</v>
      </c>
      <c r="W48" s="13">
        <f t="shared" si="28"/>
        <v>21</v>
      </c>
      <c r="X48">
        <v>857</v>
      </c>
      <c r="Y48">
        <v>1198</v>
      </c>
      <c r="Z48">
        <v>1176</v>
      </c>
      <c r="AA48">
        <v>1082</v>
      </c>
      <c r="AB48">
        <v>1220</v>
      </c>
      <c r="AC48">
        <v>1217</v>
      </c>
      <c r="AD48">
        <v>1061</v>
      </c>
      <c r="AE48">
        <v>926</v>
      </c>
      <c r="AF48">
        <v>1080</v>
      </c>
      <c r="AG48">
        <v>1176</v>
      </c>
      <c r="AH48" s="13">
        <v>1651.1</v>
      </c>
      <c r="AJ48">
        <v>316.5</v>
      </c>
      <c r="AK48" s="13">
        <v>294.60000000000002</v>
      </c>
      <c r="AL48" s="24">
        <v>353.31768045227506</v>
      </c>
    </row>
    <row r="49" spans="1:38" x14ac:dyDescent="0.35">
      <c r="A49" s="48">
        <f t="shared" si="17"/>
        <v>47</v>
      </c>
      <c r="B49" s="50">
        <f>IF(Assumptions!E$22="FMA",'Emission factors'!I49,IF(Assumptions!E$26='Harvest calc'!$J$16,'Emission factors'!J49,IF(Assumptions!E$26='Harvest calc'!$J$17,'Emission factors'!K49,IF(Assumptions!E$26='Harvest calc'!$J$18,'Emission factors'!L49,IF(Assumptions!E$26='Harvest calc'!$J$19,'Emission factors'!M49,IF(Assumptions!E$26='Harvest calc'!$J$20,'Emission factors'!N49,IF(Assumptions!E$26='Harvest calc'!$J$21,'Emission factors'!O49,IF(Assumptions!E$26='Harvest calc'!$J$22,'Emission factors'!P49,IF(Assumptions!E$26='Harvest calc'!$J$23,'Emission factors'!Q49,IF(Assumptions!E$26='Harvest calc'!$J$24,'Emission factors'!R49))))))))))</f>
        <v>20</v>
      </c>
      <c r="C49" s="13">
        <f>IF(Assumptions!E$23="Default",'Emission factors'!E49,IF(Assumptions!E$23="FMA",'Emission factors'!F49,G49))</f>
        <v>1.5</v>
      </c>
      <c r="D49" s="13"/>
      <c r="E49">
        <f t="shared" si="4"/>
        <v>1.5</v>
      </c>
      <c r="F49">
        <f t="shared" si="5"/>
        <v>2.1999999999999886</v>
      </c>
      <c r="G49" s="24">
        <f t="shared" si="6"/>
        <v>2.4002366666666717</v>
      </c>
      <c r="I49" s="13">
        <f t="shared" si="30"/>
        <v>28.700000000000045</v>
      </c>
      <c r="J49" s="13">
        <f t="shared" si="18"/>
        <v>23</v>
      </c>
      <c r="K49" s="13">
        <f t="shared" si="19"/>
        <v>24</v>
      </c>
      <c r="L49" s="13">
        <f t="shared" si="20"/>
        <v>20</v>
      </c>
      <c r="M49" s="13">
        <f t="shared" si="20"/>
        <v>25</v>
      </c>
      <c r="N49" s="13">
        <f t="shared" si="21"/>
        <v>25</v>
      </c>
      <c r="O49" s="13">
        <f t="shared" si="22"/>
        <v>22</v>
      </c>
      <c r="P49" s="13">
        <f t="shared" si="23"/>
        <v>20</v>
      </c>
      <c r="Q49" s="13">
        <f t="shared" si="24"/>
        <v>25</v>
      </c>
      <c r="R49" s="13">
        <f t="shared" si="25"/>
        <v>27</v>
      </c>
      <c r="S49" s="13">
        <f t="shared" si="29"/>
        <v>26.600000000000136</v>
      </c>
      <c r="T49" s="13">
        <f t="shared" si="27"/>
        <v>12</v>
      </c>
      <c r="U49">
        <v>1408.2</v>
      </c>
      <c r="V49">
        <v>605</v>
      </c>
      <c r="W49" s="13">
        <f t="shared" si="28"/>
        <v>21</v>
      </c>
      <c r="X49">
        <v>878</v>
      </c>
      <c r="Y49">
        <v>1220</v>
      </c>
      <c r="Z49">
        <v>1199</v>
      </c>
      <c r="AA49">
        <v>1103</v>
      </c>
      <c r="AB49">
        <v>1244</v>
      </c>
      <c r="AC49">
        <v>1242</v>
      </c>
      <c r="AD49">
        <v>1083</v>
      </c>
      <c r="AE49">
        <v>947</v>
      </c>
      <c r="AF49">
        <v>1105</v>
      </c>
      <c r="AG49">
        <v>1202</v>
      </c>
      <c r="AH49" s="13">
        <v>1680.5</v>
      </c>
      <c r="AJ49">
        <v>318.2</v>
      </c>
      <c r="AK49" s="13">
        <v>297.8</v>
      </c>
      <c r="AL49" s="24">
        <v>355.76496045227509</v>
      </c>
    </row>
    <row r="50" spans="1:38" x14ac:dyDescent="0.35">
      <c r="A50" s="48">
        <f t="shared" si="17"/>
        <v>48</v>
      </c>
      <c r="B50" s="50">
        <f>IF(Assumptions!E$22="FMA",'Emission factors'!I50,IF(Assumptions!E$26='Harvest calc'!$J$16,'Emission factors'!J50,IF(Assumptions!E$26='Harvest calc'!$J$17,'Emission factors'!K50,IF(Assumptions!E$26='Harvest calc'!$J$18,'Emission factors'!L50,IF(Assumptions!E$26='Harvest calc'!$J$19,'Emission factors'!M50,IF(Assumptions!E$26='Harvest calc'!$J$20,'Emission factors'!N50,IF(Assumptions!E$26='Harvest calc'!$J$21,'Emission factors'!O50,IF(Assumptions!E$26='Harvest calc'!$J$22,'Emission factors'!P50,IF(Assumptions!E$26='Harvest calc'!$J$23,'Emission factors'!Q50,IF(Assumptions!E$26='Harvest calc'!$J$24,'Emission factors'!R50))))))))))</f>
        <v>21</v>
      </c>
      <c r="C50" s="13">
        <f>IF(Assumptions!E$23="Default",'Emission factors'!E50,IF(Assumptions!E$23="FMA",'Emission factors'!F50,G50))</f>
        <v>1.4000000000000341</v>
      </c>
      <c r="D50" s="13"/>
      <c r="E50">
        <f t="shared" si="4"/>
        <v>1.4000000000000341</v>
      </c>
      <c r="F50">
        <f t="shared" si="5"/>
        <v>2.8000000000000114</v>
      </c>
      <c r="G50" s="24">
        <f t="shared" si="6"/>
        <v>2.3647066666666774</v>
      </c>
      <c r="I50" s="13">
        <f t="shared" si="30"/>
        <v>28.099999999999909</v>
      </c>
      <c r="J50" s="13">
        <f t="shared" si="18"/>
        <v>23</v>
      </c>
      <c r="K50" s="13">
        <f t="shared" si="19"/>
        <v>24</v>
      </c>
      <c r="L50" s="13">
        <f t="shared" si="20"/>
        <v>21</v>
      </c>
      <c r="M50" s="13">
        <f t="shared" si="20"/>
        <v>26</v>
      </c>
      <c r="N50" s="13">
        <f t="shared" si="21"/>
        <v>25</v>
      </c>
      <c r="O50" s="13">
        <f t="shared" si="22"/>
        <v>21</v>
      </c>
      <c r="P50" s="13">
        <f t="shared" si="23"/>
        <v>21</v>
      </c>
      <c r="Q50" s="13">
        <f t="shared" si="24"/>
        <v>25</v>
      </c>
      <c r="R50" s="13">
        <f t="shared" si="25"/>
        <v>26</v>
      </c>
      <c r="S50" s="13">
        <f t="shared" si="29"/>
        <v>25.599999999999909</v>
      </c>
      <c r="T50" s="13">
        <f t="shared" si="27"/>
        <v>12</v>
      </c>
      <c r="U50">
        <v>1433.8</v>
      </c>
      <c r="V50">
        <v>617</v>
      </c>
      <c r="W50" s="13">
        <f t="shared" si="28"/>
        <v>20</v>
      </c>
      <c r="X50">
        <v>898</v>
      </c>
      <c r="Y50">
        <v>1243</v>
      </c>
      <c r="Z50">
        <v>1223</v>
      </c>
      <c r="AA50">
        <v>1123</v>
      </c>
      <c r="AB50">
        <v>1269</v>
      </c>
      <c r="AC50">
        <v>1267</v>
      </c>
      <c r="AD50">
        <v>1105</v>
      </c>
      <c r="AE50">
        <v>967</v>
      </c>
      <c r="AF50">
        <v>1130</v>
      </c>
      <c r="AG50">
        <v>1229</v>
      </c>
      <c r="AH50" s="13">
        <v>1709.2</v>
      </c>
      <c r="AJ50">
        <v>319.7</v>
      </c>
      <c r="AK50" s="13">
        <v>300</v>
      </c>
      <c r="AL50" s="24">
        <v>358.16519711894176</v>
      </c>
    </row>
    <row r="51" spans="1:38" x14ac:dyDescent="0.35">
      <c r="A51" s="48">
        <f t="shared" si="17"/>
        <v>49</v>
      </c>
      <c r="B51" s="50">
        <f>IF(Assumptions!E$22="FMA",'Emission factors'!I51,IF(Assumptions!E$26='Harvest calc'!$J$16,'Emission factors'!J51,IF(Assumptions!E$26='Harvest calc'!$J$17,'Emission factors'!K51,IF(Assumptions!E$26='Harvest calc'!$J$18,'Emission factors'!L51,IF(Assumptions!E$26='Harvest calc'!$J$19,'Emission factors'!M51,IF(Assumptions!E$26='Harvest calc'!$J$20,'Emission factors'!N51,IF(Assumptions!E$26='Harvest calc'!$J$21,'Emission factors'!O51,IF(Assumptions!E$26='Harvest calc'!$J$22,'Emission factors'!P51,IF(Assumptions!E$26='Harvest calc'!$J$23,'Emission factors'!Q51,IF(Assumptions!E$26='Harvest calc'!$J$24,'Emission factors'!R51))))))))))</f>
        <v>20</v>
      </c>
      <c r="C51" s="13">
        <f>IF(Assumptions!E$23="Default",'Emission factors'!E51,IF(Assumptions!E$23="FMA",'Emission factors'!F51,G51))</f>
        <v>1.1999999999999886</v>
      </c>
      <c r="D51" s="13"/>
      <c r="E51">
        <f>AI52-AJ51</f>
        <v>1.1999999999999886</v>
      </c>
      <c r="F51">
        <f>AJ52-AK51</f>
        <v>2.5</v>
      </c>
      <c r="G51" s="24">
        <f>AK52-AL51</f>
        <v>2.3391500000000178</v>
      </c>
      <c r="I51" s="13">
        <f t="shared" si="30"/>
        <v>27.5</v>
      </c>
      <c r="J51" s="13">
        <f t="shared" si="18"/>
        <v>23</v>
      </c>
      <c r="K51" s="13">
        <f t="shared" si="19"/>
        <v>25</v>
      </c>
      <c r="L51" s="13">
        <f t="shared" si="20"/>
        <v>21</v>
      </c>
      <c r="M51" s="13">
        <f t="shared" si="20"/>
        <v>26</v>
      </c>
      <c r="N51" s="13">
        <f t="shared" si="21"/>
        <v>27</v>
      </c>
      <c r="O51" s="13">
        <f t="shared" si="22"/>
        <v>22</v>
      </c>
      <c r="P51" s="13">
        <f t="shared" si="23"/>
        <v>20</v>
      </c>
      <c r="Q51" s="13">
        <f t="shared" si="24"/>
        <v>26</v>
      </c>
      <c r="R51" s="13">
        <f t="shared" si="25"/>
        <v>27</v>
      </c>
      <c r="S51" s="13">
        <f t="shared" si="29"/>
        <v>24.799999999999955</v>
      </c>
      <c r="T51" s="13">
        <f t="shared" si="27"/>
        <v>12</v>
      </c>
      <c r="U51">
        <v>1458.6</v>
      </c>
      <c r="V51">
        <v>629</v>
      </c>
      <c r="W51" s="13">
        <f t="shared" si="28"/>
        <v>20</v>
      </c>
      <c r="X51">
        <v>918</v>
      </c>
      <c r="Y51">
        <v>1266</v>
      </c>
      <c r="Z51">
        <v>1247</v>
      </c>
      <c r="AA51">
        <v>1144</v>
      </c>
      <c r="AB51">
        <v>1295</v>
      </c>
      <c r="AC51">
        <v>1292</v>
      </c>
      <c r="AD51">
        <v>1126</v>
      </c>
      <c r="AE51">
        <v>988</v>
      </c>
      <c r="AF51">
        <v>1155</v>
      </c>
      <c r="AG51">
        <v>1255</v>
      </c>
      <c r="AH51" s="13">
        <v>1737.3</v>
      </c>
      <c r="AJ51">
        <v>321.10000000000002</v>
      </c>
      <c r="AK51" s="13">
        <v>302.8</v>
      </c>
      <c r="AL51" s="24">
        <v>360.52990378560844</v>
      </c>
    </row>
    <row r="52" spans="1:38" x14ac:dyDescent="0.35">
      <c r="A52" s="48">
        <f t="shared" si="17"/>
        <v>50</v>
      </c>
      <c r="B52" s="50">
        <f>IF(Assumptions!E$22="FMA",'Emission factors'!I52,IF(Assumptions!E$26='Harvest calc'!$J$16,'Emission factors'!J52,IF(Assumptions!E$26='Harvest calc'!$J$17,'Emission factors'!K52,IF(Assumptions!E$26='Harvest calc'!$J$18,'Emission factors'!L52,IF(Assumptions!E$26='Harvest calc'!$J$19,'Emission factors'!M52,IF(Assumptions!E$26='Harvest calc'!$J$20,'Emission factors'!N52,IF(Assumptions!E$26='Harvest calc'!$J$21,'Emission factors'!O52,IF(Assumptions!E$26='Harvest calc'!$J$22,'Emission factors'!P52,IF(Assumptions!E$26='Harvest calc'!$J$23,'Emission factors'!Q52,IF(Assumptions!E$26='Harvest calc'!$J$24,'Emission factors'!R52))))))))))</f>
        <v>20</v>
      </c>
      <c r="C52" s="13">
        <f>IF(Assumptions!E$23="Default",'Emission factors'!E52,IF(Assumptions!E$23="FMA",'Emission factors'!F52,G52))</f>
        <v>1.0999999999999659</v>
      </c>
      <c r="D52" s="13"/>
      <c r="E52">
        <f>AI53-AI52</f>
        <v>1.0999999999999659</v>
      </c>
      <c r="F52">
        <f>AJ53-AJ52</f>
        <v>2.3000000000000114</v>
      </c>
      <c r="G52" s="24">
        <f>AK53-AK52</f>
        <v>2.3220266666666589</v>
      </c>
      <c r="I52" s="13">
        <f t="shared" si="30"/>
        <v>26.900000000000091</v>
      </c>
      <c r="J52" s="13">
        <f t="shared" si="18"/>
        <v>24</v>
      </c>
      <c r="K52" s="13">
        <f t="shared" si="19"/>
        <v>24</v>
      </c>
      <c r="L52" s="13">
        <f t="shared" si="20"/>
        <v>22</v>
      </c>
      <c r="M52" s="13">
        <f t="shared" si="20"/>
        <v>26</v>
      </c>
      <c r="N52" s="13">
        <f t="shared" si="21"/>
        <v>26</v>
      </c>
      <c r="O52" s="13">
        <f t="shared" si="22"/>
        <v>22</v>
      </c>
      <c r="P52" s="13">
        <f t="shared" si="23"/>
        <v>20</v>
      </c>
      <c r="Q52" s="13">
        <f t="shared" si="24"/>
        <v>25</v>
      </c>
      <c r="R52" s="13">
        <f t="shared" si="25"/>
        <v>27</v>
      </c>
      <c r="S52" s="13">
        <f t="shared" si="29"/>
        <v>24.200000000000045</v>
      </c>
      <c r="T52" s="13">
        <f t="shared" si="27"/>
        <v>12</v>
      </c>
      <c r="U52">
        <v>1482.8</v>
      </c>
      <c r="V52">
        <v>641</v>
      </c>
      <c r="W52" s="13">
        <f t="shared" si="28"/>
        <v>20</v>
      </c>
      <c r="X52">
        <v>938</v>
      </c>
      <c r="Y52">
        <v>1289</v>
      </c>
      <c r="Z52">
        <v>1272</v>
      </c>
      <c r="AA52">
        <v>1165</v>
      </c>
      <c r="AB52">
        <v>1321</v>
      </c>
      <c r="AC52">
        <v>1319</v>
      </c>
      <c r="AD52">
        <v>1148</v>
      </c>
      <c r="AE52">
        <v>1008</v>
      </c>
      <c r="AF52">
        <v>1181</v>
      </c>
      <c r="AG52">
        <v>1282</v>
      </c>
      <c r="AH52" s="13">
        <v>1764.8</v>
      </c>
      <c r="AI52">
        <v>322.3</v>
      </c>
      <c r="AJ52" s="13">
        <v>305.3</v>
      </c>
      <c r="AK52" s="24">
        <v>362.86905378560846</v>
      </c>
    </row>
    <row r="53" spans="1:38" x14ac:dyDescent="0.35">
      <c r="A53" s="48">
        <f t="shared" si="17"/>
        <v>51</v>
      </c>
      <c r="B53" s="50">
        <f>IF(Assumptions!E$22="FMA",'Emission factors'!I53,IF(Assumptions!E$26='Harvest calc'!$J$16,'Emission factors'!J53,IF(Assumptions!E$26='Harvest calc'!$J$17,'Emission factors'!K53,IF(Assumptions!E$26='Harvest calc'!$J$18,'Emission factors'!L53,IF(Assumptions!E$26='Harvest calc'!$J$19,'Emission factors'!M53,IF(Assumptions!E$26='Harvest calc'!$J$20,'Emission factors'!N53,IF(Assumptions!E$26='Harvest calc'!$J$21,'Emission factors'!O53,IF(Assumptions!E$26='Harvest calc'!$J$22,'Emission factors'!P53,IF(Assumptions!E$26='Harvest calc'!$J$23,'Emission factors'!Q53,IF(Assumptions!E$26='Harvest calc'!$J$24,'Emission factors'!R53))))))))))</f>
        <v>0</v>
      </c>
      <c r="C53" s="13">
        <f>IF(Assumptions!E$23="Default",'Emission factors'!E53,IF(Assumptions!E$23="FMA",'Emission factors'!F53,G53))</f>
        <v>0</v>
      </c>
      <c r="D53" s="13"/>
      <c r="G53" s="24">
        <f t="shared" ref="G53:G69" si="31">AK54-AK53</f>
        <v>2.2953333333333603</v>
      </c>
      <c r="P53" s="13"/>
      <c r="Q53" s="13"/>
      <c r="R53" s="13"/>
      <c r="T53" s="13"/>
      <c r="W53" s="13">
        <f t="shared" si="28"/>
        <v>19</v>
      </c>
      <c r="X53">
        <v>957</v>
      </c>
      <c r="Y53">
        <v>1313</v>
      </c>
      <c r="Z53">
        <v>1296</v>
      </c>
      <c r="AA53">
        <v>1187</v>
      </c>
      <c r="AB53">
        <v>1347</v>
      </c>
      <c r="AC53">
        <v>1345</v>
      </c>
      <c r="AD53">
        <v>1170</v>
      </c>
      <c r="AE53">
        <v>1028</v>
      </c>
      <c r="AF53">
        <v>1206</v>
      </c>
      <c r="AG53">
        <v>1309</v>
      </c>
      <c r="AH53" s="13">
        <v>1791.7</v>
      </c>
      <c r="AI53">
        <v>323.39999999999998</v>
      </c>
      <c r="AJ53" s="13">
        <v>307.60000000000002</v>
      </c>
      <c r="AK53" s="24">
        <v>365.19108045227512</v>
      </c>
    </row>
    <row r="54" spans="1:38" x14ac:dyDescent="0.35">
      <c r="A54" s="48">
        <f t="shared" si="17"/>
        <v>52</v>
      </c>
      <c r="B54" s="50">
        <f>IF(Assumptions!E$22="FMA",'Emission factors'!I54,IF(Assumptions!E$26='Harvest calc'!$J$16,'Emission factors'!J54,IF(Assumptions!E$26='Harvest calc'!$J$17,'Emission factors'!K54,IF(Assumptions!E$26='Harvest calc'!$J$18,'Emission factors'!L54,IF(Assumptions!E$26='Harvest calc'!$J$19,'Emission factors'!M54,IF(Assumptions!E$26='Harvest calc'!$J$20,'Emission factors'!N54,IF(Assumptions!E$26='Harvest calc'!$J$21,'Emission factors'!O54,IF(Assumptions!E$26='Harvest calc'!$J$22,'Emission factors'!P54,IF(Assumptions!E$26='Harvest calc'!$J$23,'Emission factors'!Q54,IF(Assumptions!E$26='Harvest calc'!$J$24,'Emission factors'!R54))))))))))</f>
        <v>0</v>
      </c>
      <c r="C54" s="13">
        <f>IF(Assumptions!E$23="Default",'Emission factors'!E54,IF(Assumptions!E$23="FMA",'Emission factors'!F54,G54))</f>
        <v>0</v>
      </c>
      <c r="D54" s="13"/>
      <c r="E54" s="13"/>
      <c r="F54" s="13"/>
      <c r="G54" s="24">
        <f t="shared" si="31"/>
        <v>2.2953333333333603</v>
      </c>
      <c r="T54" s="13"/>
      <c r="AI54" s="13"/>
      <c r="AJ54" s="13"/>
      <c r="AK54" s="24">
        <v>367.48641378560848</v>
      </c>
    </row>
    <row r="55" spans="1:38" x14ac:dyDescent="0.35">
      <c r="A55" s="48">
        <f t="shared" si="17"/>
        <v>53</v>
      </c>
      <c r="B55" s="50">
        <f>IF(Assumptions!E$22="FMA",'Emission factors'!I55,IF(Assumptions!E$26='Harvest calc'!$J$16,'Emission factors'!J55,IF(Assumptions!E$26='Harvest calc'!$J$17,'Emission factors'!K55,IF(Assumptions!E$26='Harvest calc'!$J$18,'Emission factors'!L55,IF(Assumptions!E$26='Harvest calc'!$J$19,'Emission factors'!M55,IF(Assumptions!E$26='Harvest calc'!$J$20,'Emission factors'!N55,IF(Assumptions!E$26='Harvest calc'!$J$21,'Emission factors'!O55,IF(Assumptions!E$26='Harvest calc'!$J$22,'Emission factors'!P55,IF(Assumptions!E$26='Harvest calc'!$J$23,'Emission factors'!Q55,IF(Assumptions!E$26='Harvest calc'!$J$24,'Emission factors'!R55))))))))))</f>
        <v>0</v>
      </c>
      <c r="C55" s="13">
        <f>IF(Assumptions!E$23="Default",'Emission factors'!E55,IF(Assumptions!E$23="FMA",'Emission factors'!F55,G55))</f>
        <v>0</v>
      </c>
      <c r="D55" s="13"/>
      <c r="E55" s="13"/>
      <c r="F55" s="13"/>
      <c r="G55" s="24">
        <f t="shared" si="31"/>
        <v>2.2953333333333603</v>
      </c>
      <c r="T55" s="13"/>
      <c r="AI55" s="13"/>
      <c r="AJ55" s="13"/>
      <c r="AK55" s="24">
        <v>369.78174711894184</v>
      </c>
    </row>
    <row r="56" spans="1:38" x14ac:dyDescent="0.35">
      <c r="A56" s="48">
        <f t="shared" si="17"/>
        <v>54</v>
      </c>
      <c r="B56" s="50">
        <f>IF(Assumptions!E$22="FMA",'Emission factors'!I56,IF(Assumptions!E$26='Harvest calc'!$J$16,'Emission factors'!J56,IF(Assumptions!E$26='Harvest calc'!$J$17,'Emission factors'!K56,IF(Assumptions!E$26='Harvest calc'!$J$18,'Emission factors'!L56,IF(Assumptions!E$26='Harvest calc'!$J$19,'Emission factors'!M56,IF(Assumptions!E$26='Harvest calc'!$J$20,'Emission factors'!N56,IF(Assumptions!E$26='Harvest calc'!$J$21,'Emission factors'!O56,IF(Assumptions!E$26='Harvest calc'!$J$22,'Emission factors'!P56,IF(Assumptions!E$26='Harvest calc'!$J$23,'Emission factors'!Q56,IF(Assumptions!E$26='Harvest calc'!$J$24,'Emission factors'!R56))))))))))</f>
        <v>0</v>
      </c>
      <c r="C56" s="13">
        <f>IF(Assumptions!E$23="Default",'Emission factors'!E56,IF(Assumptions!E$23="FMA",'Emission factors'!F56,G56))</f>
        <v>0</v>
      </c>
      <c r="D56" s="13"/>
      <c r="E56" s="13"/>
      <c r="F56" s="13"/>
      <c r="G56" s="24">
        <f t="shared" si="31"/>
        <v>2.2953333333333603</v>
      </c>
      <c r="T56" s="13"/>
      <c r="AI56" s="13"/>
      <c r="AJ56" s="13"/>
      <c r="AK56" s="24">
        <v>372.0770804522752</v>
      </c>
    </row>
    <row r="57" spans="1:38" x14ac:dyDescent="0.35">
      <c r="A57" s="48">
        <f t="shared" si="17"/>
        <v>55</v>
      </c>
      <c r="B57" s="50">
        <f>IF(Assumptions!E$22="FMA",'Emission factors'!I57,IF(Assumptions!E$26='Harvest calc'!$J$16,'Emission factors'!J57,IF(Assumptions!E$26='Harvest calc'!$J$17,'Emission factors'!K57,IF(Assumptions!E$26='Harvest calc'!$J$18,'Emission factors'!L57,IF(Assumptions!E$26='Harvest calc'!$J$19,'Emission factors'!M57,IF(Assumptions!E$26='Harvest calc'!$J$20,'Emission factors'!N57,IF(Assumptions!E$26='Harvest calc'!$J$21,'Emission factors'!O57,IF(Assumptions!E$26='Harvest calc'!$J$22,'Emission factors'!P57,IF(Assumptions!E$26='Harvest calc'!$J$23,'Emission factors'!Q57,IF(Assumptions!E$26='Harvest calc'!$J$24,'Emission factors'!R57))))))))))</f>
        <v>0</v>
      </c>
      <c r="C57" s="13">
        <f>IF(Assumptions!E$23="Default",'Emission factors'!E57,IF(Assumptions!E$23="FMA",'Emission factors'!F57,G57))</f>
        <v>0</v>
      </c>
      <c r="D57" s="13"/>
      <c r="E57" s="13"/>
      <c r="F57" s="13"/>
      <c r="G57" s="24">
        <f t="shared" si="31"/>
        <v>2.2953333333333035</v>
      </c>
      <c r="T57" s="13"/>
      <c r="AI57" s="13"/>
      <c r="AJ57" s="13"/>
      <c r="AK57" s="24">
        <v>374.37241378560856</v>
      </c>
    </row>
    <row r="58" spans="1:38" x14ac:dyDescent="0.35">
      <c r="A58" s="48">
        <f t="shared" si="17"/>
        <v>56</v>
      </c>
      <c r="B58" s="50">
        <f>IF(Assumptions!E$22="FMA",'Emission factors'!I58,IF(Assumptions!E$26='Harvest calc'!$J$16,'Emission factors'!J58,IF(Assumptions!E$26='Harvest calc'!$J$17,'Emission factors'!K58,IF(Assumptions!E$26='Harvest calc'!$J$18,'Emission factors'!L58,IF(Assumptions!E$26='Harvest calc'!$J$19,'Emission factors'!M58,IF(Assumptions!E$26='Harvest calc'!$J$20,'Emission factors'!N58,IF(Assumptions!E$26='Harvest calc'!$J$21,'Emission factors'!O58,IF(Assumptions!E$26='Harvest calc'!$J$22,'Emission factors'!P58,IF(Assumptions!E$26='Harvest calc'!$J$23,'Emission factors'!Q58,IF(Assumptions!E$26='Harvest calc'!$J$24,'Emission factors'!R58))))))))))</f>
        <v>0</v>
      </c>
      <c r="C58" s="13">
        <f>IF(Assumptions!E$23="Default",'Emission factors'!E58,IF(Assumptions!E$23="FMA",'Emission factors'!F58,G58))</f>
        <v>0</v>
      </c>
      <c r="D58" s="13"/>
      <c r="E58" s="13"/>
      <c r="F58" s="13"/>
      <c r="G58" s="24">
        <f t="shared" si="31"/>
        <v>2.2953333333334172</v>
      </c>
      <c r="T58" s="13"/>
      <c r="AI58" s="13"/>
      <c r="AJ58" s="13"/>
      <c r="AK58" s="24">
        <v>376.66774711894186</v>
      </c>
    </row>
    <row r="59" spans="1:38" x14ac:dyDescent="0.35">
      <c r="A59" s="48">
        <f t="shared" si="17"/>
        <v>57</v>
      </c>
      <c r="B59" s="50">
        <f>IF(Assumptions!E$22="FMA",'Emission factors'!I59,IF(Assumptions!E$26='Harvest calc'!$J$16,'Emission factors'!J59,IF(Assumptions!E$26='Harvest calc'!$J$17,'Emission factors'!K59,IF(Assumptions!E$26='Harvest calc'!$J$18,'Emission factors'!L59,IF(Assumptions!E$26='Harvest calc'!$J$19,'Emission factors'!M59,IF(Assumptions!E$26='Harvest calc'!$J$20,'Emission factors'!N59,IF(Assumptions!E$26='Harvest calc'!$J$21,'Emission factors'!O59,IF(Assumptions!E$26='Harvest calc'!$J$22,'Emission factors'!P59,IF(Assumptions!E$26='Harvest calc'!$J$23,'Emission factors'!Q59,IF(Assumptions!E$26='Harvest calc'!$J$24,'Emission factors'!R59))))))))))</f>
        <v>0</v>
      </c>
      <c r="C59" s="13">
        <f>IF(Assumptions!E$23="Default",'Emission factors'!E59,IF(Assumptions!E$23="FMA",'Emission factors'!F59,G59))</f>
        <v>0</v>
      </c>
      <c r="D59" s="13"/>
      <c r="E59" s="13"/>
      <c r="F59" s="13"/>
      <c r="G59" s="24">
        <f t="shared" si="31"/>
        <v>2.2953333333333035</v>
      </c>
      <c r="T59" s="13"/>
      <c r="AI59" s="13"/>
      <c r="AJ59" s="13"/>
      <c r="AK59" s="24">
        <v>378.96308045227528</v>
      </c>
    </row>
    <row r="60" spans="1:38" x14ac:dyDescent="0.35">
      <c r="A60" s="48">
        <f t="shared" si="17"/>
        <v>58</v>
      </c>
      <c r="B60" s="50">
        <f>IF(Assumptions!E$22="FMA",'Emission factors'!I60,IF(Assumptions!E$26='Harvest calc'!$J$16,'Emission factors'!J60,IF(Assumptions!E$26='Harvest calc'!$J$17,'Emission factors'!K60,IF(Assumptions!E$26='Harvest calc'!$J$18,'Emission factors'!L60,IF(Assumptions!E$26='Harvest calc'!$J$19,'Emission factors'!M60,IF(Assumptions!E$26='Harvest calc'!$J$20,'Emission factors'!N60,IF(Assumptions!E$26='Harvest calc'!$J$21,'Emission factors'!O60,IF(Assumptions!E$26='Harvest calc'!$J$22,'Emission factors'!P60,IF(Assumptions!E$26='Harvest calc'!$J$23,'Emission factors'!Q60,IF(Assumptions!E$26='Harvest calc'!$J$24,'Emission factors'!R60))))))))))</f>
        <v>0</v>
      </c>
      <c r="C60" s="13">
        <f>IF(Assumptions!E$23="Default",'Emission factors'!E60,IF(Assumptions!E$23="FMA",'Emission factors'!F60,G60))</f>
        <v>0</v>
      </c>
      <c r="D60" s="13"/>
      <c r="E60" s="13"/>
      <c r="F60" s="13"/>
      <c r="G60" s="24">
        <f t="shared" si="31"/>
        <v>2.2953333333333035</v>
      </c>
      <c r="T60" s="13"/>
      <c r="AI60" s="13"/>
      <c r="AJ60" s="13"/>
      <c r="AK60" s="24">
        <v>381.25841378560858</v>
      </c>
    </row>
    <row r="61" spans="1:38" x14ac:dyDescent="0.35">
      <c r="A61" s="48">
        <f t="shared" si="17"/>
        <v>59</v>
      </c>
      <c r="B61" s="50">
        <f>IF(Assumptions!E$22="FMA",'Emission factors'!I61,IF(Assumptions!E$26='Harvest calc'!$J$16,'Emission factors'!J61,IF(Assumptions!E$26='Harvest calc'!$J$17,'Emission factors'!K61,IF(Assumptions!E$26='Harvest calc'!$J$18,'Emission factors'!L61,IF(Assumptions!E$26='Harvest calc'!$J$19,'Emission factors'!M61,IF(Assumptions!E$26='Harvest calc'!$J$20,'Emission factors'!N61,IF(Assumptions!E$26='Harvest calc'!$J$21,'Emission factors'!O61,IF(Assumptions!E$26='Harvest calc'!$J$22,'Emission factors'!P61,IF(Assumptions!E$26='Harvest calc'!$J$23,'Emission factors'!Q61,IF(Assumptions!E$26='Harvest calc'!$J$24,'Emission factors'!R61))))))))))</f>
        <v>0</v>
      </c>
      <c r="C61" s="13">
        <f>IF(Assumptions!E$23="Default",'Emission factors'!E61,IF(Assumptions!E$23="FMA",'Emission factors'!F61,G61))</f>
        <v>0</v>
      </c>
      <c r="D61" s="13"/>
      <c r="E61" s="13"/>
      <c r="F61" s="13"/>
      <c r="G61" s="24">
        <f t="shared" si="31"/>
        <v>2.2953333333334172</v>
      </c>
      <c r="T61" s="13"/>
      <c r="AI61" s="13"/>
      <c r="AJ61" s="13"/>
      <c r="AK61" s="24">
        <v>383.55374711894189</v>
      </c>
    </row>
    <row r="62" spans="1:38" x14ac:dyDescent="0.35">
      <c r="A62" s="48">
        <f t="shared" si="17"/>
        <v>60</v>
      </c>
      <c r="B62" s="50">
        <f>IF(Assumptions!E$22="FMA",'Emission factors'!I62,IF(Assumptions!E$26='Harvest calc'!$J$16,'Emission factors'!J62,IF(Assumptions!E$26='Harvest calc'!$J$17,'Emission factors'!K62,IF(Assumptions!E$26='Harvest calc'!$J$18,'Emission factors'!L62,IF(Assumptions!E$26='Harvest calc'!$J$19,'Emission factors'!M62,IF(Assumptions!E$26='Harvest calc'!$J$20,'Emission factors'!N62,IF(Assumptions!E$26='Harvest calc'!$J$21,'Emission factors'!O62,IF(Assumptions!E$26='Harvest calc'!$J$22,'Emission factors'!P62,IF(Assumptions!E$26='Harvest calc'!$J$23,'Emission factors'!Q62,IF(Assumptions!E$26='Harvest calc'!$J$24,'Emission factors'!R62))))))))))</f>
        <v>0</v>
      </c>
      <c r="C62" s="13">
        <f>IF(Assumptions!E$23="Default",'Emission factors'!E62,IF(Assumptions!E$23="FMA",'Emission factors'!F62,G62))</f>
        <v>0</v>
      </c>
      <c r="D62" s="13"/>
      <c r="E62" s="13"/>
      <c r="F62" s="13"/>
      <c r="G62" s="24">
        <f t="shared" si="31"/>
        <v>2.2953333333333035</v>
      </c>
      <c r="T62" s="13"/>
      <c r="AI62" s="13"/>
      <c r="AJ62" s="13"/>
      <c r="AK62" s="24">
        <v>385.8490804522753</v>
      </c>
    </row>
    <row r="63" spans="1:38" x14ac:dyDescent="0.35">
      <c r="A63" s="48">
        <f>A62+1</f>
        <v>61</v>
      </c>
      <c r="B63" s="13"/>
      <c r="C63" s="13">
        <f>IF(Assumptions!E$23="Default",'Emission factors'!E63,IF(Assumptions!E$23="FMA",'Emission factors'!F63,G63))</f>
        <v>0</v>
      </c>
      <c r="D63" s="13"/>
      <c r="E63" s="13"/>
      <c r="F63" s="13"/>
      <c r="G63" s="24">
        <f t="shared" si="31"/>
        <v>2.2953333333334172</v>
      </c>
      <c r="T63" s="13"/>
      <c r="AI63" s="13"/>
      <c r="AJ63" s="13"/>
      <c r="AK63" s="24">
        <v>388.14441378560861</v>
      </c>
    </row>
    <row r="64" spans="1:38" x14ac:dyDescent="0.35">
      <c r="A64" s="48">
        <f t="shared" si="17"/>
        <v>62</v>
      </c>
      <c r="B64" s="13"/>
      <c r="C64" s="13">
        <f>IF(Assumptions!E$23="Default",'Emission factors'!E64,IF(Assumptions!E$23="FMA",'Emission factors'!F64,G64))</f>
        <v>0</v>
      </c>
      <c r="D64" s="13"/>
      <c r="E64" s="13"/>
      <c r="F64" s="13"/>
      <c r="G64" s="24">
        <f t="shared" si="31"/>
        <v>2.2953333333333035</v>
      </c>
      <c r="AI64" s="13"/>
      <c r="AJ64" s="13"/>
      <c r="AK64" s="24">
        <v>390.43974711894202</v>
      </c>
    </row>
    <row r="65" spans="1:42" x14ac:dyDescent="0.35">
      <c r="A65" s="48">
        <f t="shared" si="17"/>
        <v>63</v>
      </c>
      <c r="B65" s="13"/>
      <c r="C65" s="13">
        <f>IF(Assumptions!E$23="Default",'Emission factors'!E65,IF(Assumptions!E$23="FMA",'Emission factors'!F65,G65))</f>
        <v>0</v>
      </c>
      <c r="D65" s="13"/>
      <c r="E65" s="13"/>
      <c r="F65" s="13"/>
      <c r="G65" s="24">
        <f t="shared" si="31"/>
        <v>2.2953333333333603</v>
      </c>
      <c r="AI65" s="13"/>
      <c r="AJ65" s="13"/>
      <c r="AK65" s="24">
        <v>392.73508045227533</v>
      </c>
    </row>
    <row r="66" spans="1:42" x14ac:dyDescent="0.35">
      <c r="A66" s="48">
        <f t="shared" si="17"/>
        <v>64</v>
      </c>
      <c r="B66" s="13"/>
      <c r="C66" s="13">
        <f>IF(Assumptions!E$23="Default",'Emission factors'!E66,IF(Assumptions!E$23="FMA",'Emission factors'!F66,G66))</f>
        <v>0</v>
      </c>
      <c r="D66" s="13"/>
      <c r="E66" s="13"/>
      <c r="F66" s="13"/>
      <c r="G66" s="24">
        <f t="shared" si="31"/>
        <v>2.2953333333333603</v>
      </c>
      <c r="AI66" s="13"/>
      <c r="AJ66" s="13"/>
      <c r="AK66" s="24">
        <v>395.03041378560869</v>
      </c>
    </row>
    <row r="67" spans="1:42" x14ac:dyDescent="0.35">
      <c r="A67" s="48">
        <f t="shared" si="17"/>
        <v>65</v>
      </c>
      <c r="B67" s="13"/>
      <c r="C67" s="13">
        <f>IF(Assumptions!E$23="Default",'Emission factors'!E67,IF(Assumptions!E$23="FMA",'Emission factors'!F67,G67))</f>
        <v>0</v>
      </c>
      <c r="D67" s="13"/>
      <c r="E67" s="13"/>
      <c r="F67" s="13"/>
      <c r="G67" s="24">
        <f t="shared" si="31"/>
        <v>2.2953333333333603</v>
      </c>
      <c r="AI67" s="13"/>
      <c r="AJ67" s="13"/>
      <c r="AK67" s="24">
        <v>397.32574711894205</v>
      </c>
    </row>
    <row r="68" spans="1:42" x14ac:dyDescent="0.35">
      <c r="A68" s="48">
        <f t="shared" si="17"/>
        <v>66</v>
      </c>
      <c r="B68" s="13"/>
      <c r="C68" s="13">
        <f>IF(Assumptions!E$23="Default",'Emission factors'!E68,IF(Assumptions!E$23="FMA",'Emission factors'!F68,G68))</f>
        <v>0</v>
      </c>
      <c r="D68" s="13"/>
      <c r="E68" s="13"/>
      <c r="F68" s="13"/>
      <c r="G68" s="24">
        <f t="shared" si="31"/>
        <v>2.2953333333333035</v>
      </c>
      <c r="AI68" s="13"/>
      <c r="AJ68" s="13"/>
      <c r="AK68" s="24">
        <v>399.62108045227541</v>
      </c>
    </row>
    <row r="69" spans="1:42" x14ac:dyDescent="0.35">
      <c r="A69" s="48">
        <f t="shared" ref="A69:A132" si="32">A68+1</f>
        <v>67</v>
      </c>
      <c r="B69" s="13"/>
      <c r="C69" s="13">
        <f>IF(Assumptions!E$23="Default",'Emission factors'!E69,IF(Assumptions!E$23="FMA",'Emission factors'!F69,G69))</f>
        <v>0</v>
      </c>
      <c r="D69" s="13"/>
      <c r="E69" s="13"/>
      <c r="F69" s="13"/>
      <c r="G69" s="24">
        <f t="shared" si="31"/>
        <v>2.2953333333334172</v>
      </c>
      <c r="AI69" s="13"/>
      <c r="AJ69" s="13"/>
      <c r="AK69" s="24">
        <v>401.91641378560871</v>
      </c>
    </row>
    <row r="70" spans="1:42" x14ac:dyDescent="0.35">
      <c r="A70" s="48">
        <f t="shared" si="32"/>
        <v>68</v>
      </c>
      <c r="B70" s="13"/>
      <c r="C70" s="13">
        <f>IF(Assumptions!E$23="Default",'Emission factors'!E70,IF(Assumptions!E$23="FMA",'Emission factors'!F70,G70))</f>
        <v>0</v>
      </c>
      <c r="D70" s="13"/>
      <c r="E70" s="13"/>
      <c r="F70" s="13"/>
      <c r="G70" s="24">
        <f>AP71-AK70</f>
        <v>2.2953333333333035</v>
      </c>
      <c r="AI70" s="13"/>
      <c r="AJ70" s="13"/>
      <c r="AK70" s="24">
        <v>404.21174711894213</v>
      </c>
    </row>
    <row r="71" spans="1:42" x14ac:dyDescent="0.35">
      <c r="A71" s="48">
        <f t="shared" si="32"/>
        <v>69</v>
      </c>
      <c r="B71" s="13"/>
      <c r="C71" s="13">
        <f>IF(Assumptions!E$23="Default",'Emission factors'!E71,IF(Assumptions!E$23="FMA",'Emission factors'!F71,G71))</f>
        <v>0</v>
      </c>
      <c r="D71" s="13"/>
      <c r="E71" s="13"/>
      <c r="F71" s="13"/>
      <c r="G71" s="24">
        <f t="shared" ref="G71:G131" si="33">AP72-AP71</f>
        <v>2.2953333333334172</v>
      </c>
      <c r="AN71" s="13"/>
      <c r="AO71" s="13"/>
      <c r="AP71" s="24">
        <v>406.50708045227543</v>
      </c>
    </row>
    <row r="72" spans="1:42" x14ac:dyDescent="0.35">
      <c r="A72" s="48">
        <f t="shared" si="32"/>
        <v>70</v>
      </c>
      <c r="B72" s="13"/>
      <c r="C72" s="13">
        <f>IF(Assumptions!E$23="Default",'Emission factors'!E72,IF(Assumptions!E$23="FMA",'Emission factors'!F72,G72))</f>
        <v>0</v>
      </c>
      <c r="D72" s="13"/>
      <c r="E72" s="13"/>
      <c r="F72" s="13"/>
      <c r="G72" s="24">
        <f t="shared" si="33"/>
        <v>2.2953333333333035</v>
      </c>
      <c r="AN72" s="13"/>
      <c r="AO72" s="13"/>
      <c r="AP72" s="24">
        <v>408.80241378560885</v>
      </c>
    </row>
    <row r="73" spans="1:42" x14ac:dyDescent="0.35">
      <c r="A73" s="48">
        <f t="shared" si="32"/>
        <v>71</v>
      </c>
      <c r="B73" s="13"/>
      <c r="C73" s="13">
        <f>IF(Assumptions!E$23="Default",'Emission factors'!E73,IF(Assumptions!E$23="FMA",'Emission factors'!F73,G73))</f>
        <v>0</v>
      </c>
      <c r="D73" s="13"/>
      <c r="E73" s="13"/>
      <c r="F73" s="13"/>
      <c r="G73" s="24">
        <f t="shared" si="33"/>
        <v>2.2953333333333035</v>
      </c>
      <c r="AN73" s="13"/>
      <c r="AO73" s="13"/>
      <c r="AP73" s="24">
        <v>411.09774711894215</v>
      </c>
    </row>
    <row r="74" spans="1:42" x14ac:dyDescent="0.35">
      <c r="A74" s="48">
        <f t="shared" si="32"/>
        <v>72</v>
      </c>
      <c r="B74" s="13"/>
      <c r="C74" s="13">
        <f>IF(Assumptions!E$23="Default",'Emission factors'!E74,IF(Assumptions!E$23="FMA",'Emission factors'!F74,G74))</f>
        <v>0</v>
      </c>
      <c r="D74" s="13"/>
      <c r="E74" s="13"/>
      <c r="F74" s="13"/>
      <c r="G74" s="24">
        <f t="shared" si="33"/>
        <v>2.2953333333334172</v>
      </c>
      <c r="AN74" s="13"/>
      <c r="AO74" s="13"/>
      <c r="AP74" s="24">
        <v>413.39308045227546</v>
      </c>
    </row>
    <row r="75" spans="1:42" x14ac:dyDescent="0.35">
      <c r="A75" s="48">
        <f t="shared" si="32"/>
        <v>73</v>
      </c>
      <c r="B75" s="13"/>
      <c r="C75" s="13">
        <f>IF(Assumptions!E$23="Default",'Emission factors'!E75,IF(Assumptions!E$23="FMA",'Emission factors'!F75,G75))</f>
        <v>0</v>
      </c>
      <c r="D75" s="13"/>
      <c r="E75" s="13"/>
      <c r="F75" s="13"/>
      <c r="G75" s="24">
        <f t="shared" si="33"/>
        <v>2.2953333333333035</v>
      </c>
      <c r="AN75" s="13"/>
      <c r="AO75" s="13"/>
      <c r="AP75" s="24">
        <v>415.68841378560887</v>
      </c>
    </row>
    <row r="76" spans="1:42" x14ac:dyDescent="0.35">
      <c r="A76" s="48">
        <f t="shared" si="32"/>
        <v>74</v>
      </c>
      <c r="B76" s="13"/>
      <c r="C76" s="13">
        <f>IF(Assumptions!E$23="Default",'Emission factors'!E76,IF(Assumptions!E$23="FMA",'Emission factors'!F76,G76))</f>
        <v>0</v>
      </c>
      <c r="D76" s="13"/>
      <c r="E76" s="13"/>
      <c r="F76" s="13"/>
      <c r="G76" s="24">
        <f t="shared" si="33"/>
        <v>2.2953333333333603</v>
      </c>
      <c r="AN76" s="13"/>
      <c r="AO76" s="13"/>
      <c r="AP76" s="24">
        <v>417.98374711894218</v>
      </c>
    </row>
    <row r="77" spans="1:42" x14ac:dyDescent="0.35">
      <c r="A77" s="48">
        <f t="shared" si="32"/>
        <v>75</v>
      </c>
      <c r="B77" s="13"/>
      <c r="C77" s="13">
        <f>IF(Assumptions!E$23="Default",'Emission factors'!E77,IF(Assumptions!E$23="FMA",'Emission factors'!F77,G77))</f>
        <v>0</v>
      </c>
      <c r="D77" s="13"/>
      <c r="E77" s="13"/>
      <c r="F77" s="13"/>
      <c r="G77" s="24">
        <f t="shared" si="33"/>
        <v>2.2953333333333603</v>
      </c>
      <c r="AN77" s="13"/>
      <c r="AO77" s="13"/>
      <c r="AP77" s="24">
        <v>420.27908045227554</v>
      </c>
    </row>
    <row r="78" spans="1:42" x14ac:dyDescent="0.35">
      <c r="A78" s="48">
        <f t="shared" si="32"/>
        <v>76</v>
      </c>
      <c r="B78" s="13"/>
      <c r="C78" s="13">
        <f>IF(Assumptions!E$23="Default",'Emission factors'!E78,IF(Assumptions!E$23="FMA",'Emission factors'!F78,G78))</f>
        <v>0</v>
      </c>
      <c r="D78" s="13"/>
      <c r="E78" s="13"/>
      <c r="F78" s="13"/>
      <c r="G78" s="24">
        <f t="shared" si="33"/>
        <v>2.2953333333333603</v>
      </c>
      <c r="AN78" s="13"/>
      <c r="AO78" s="13"/>
      <c r="AP78" s="24">
        <v>422.5744137856089</v>
      </c>
    </row>
    <row r="79" spans="1:42" x14ac:dyDescent="0.35">
      <c r="A79" s="48">
        <f t="shared" si="32"/>
        <v>77</v>
      </c>
      <c r="B79" s="13"/>
      <c r="C79" s="13">
        <f>IF(Assumptions!E$23="Default",'Emission factors'!E79,IF(Assumptions!E$23="FMA",'Emission factors'!F79,G79))</f>
        <v>0</v>
      </c>
      <c r="D79" s="13"/>
      <c r="E79" s="13"/>
      <c r="F79" s="13"/>
      <c r="G79" s="24">
        <f t="shared" si="33"/>
        <v>2.2953333333333603</v>
      </c>
      <c r="AN79" s="13"/>
      <c r="AO79" s="13"/>
      <c r="AP79" s="24">
        <v>424.86974711894226</v>
      </c>
    </row>
    <row r="80" spans="1:42" x14ac:dyDescent="0.35">
      <c r="A80" s="48">
        <f t="shared" si="32"/>
        <v>78</v>
      </c>
      <c r="B80" s="13"/>
      <c r="C80" s="13">
        <f>IF(Assumptions!E$23="Default",'Emission factors'!E80,IF(Assumptions!E$23="FMA",'Emission factors'!F80,G80))</f>
        <v>0</v>
      </c>
      <c r="D80" s="13"/>
      <c r="E80" s="13"/>
      <c r="F80" s="13"/>
      <c r="G80" s="24">
        <f t="shared" si="33"/>
        <v>2.2953333333333603</v>
      </c>
      <c r="AN80" s="13"/>
      <c r="AO80" s="13"/>
      <c r="AP80" s="24">
        <v>427.16508045227562</v>
      </c>
    </row>
    <row r="81" spans="1:42" x14ac:dyDescent="0.35">
      <c r="A81" s="48">
        <f t="shared" si="32"/>
        <v>79</v>
      </c>
      <c r="B81" s="13"/>
      <c r="C81" s="13">
        <f>IF(Assumptions!E$23="Default",'Emission factors'!E81,IF(Assumptions!E$23="FMA",'Emission factors'!F81,G81))</f>
        <v>0</v>
      </c>
      <c r="D81" s="13"/>
      <c r="E81" s="13"/>
      <c r="F81" s="13"/>
      <c r="G81" s="24">
        <f t="shared" si="33"/>
        <v>2.2953333333333035</v>
      </c>
      <c r="AN81" s="13"/>
      <c r="AO81" s="13"/>
      <c r="AP81" s="24">
        <v>429.46041378560898</v>
      </c>
    </row>
    <row r="82" spans="1:42" x14ac:dyDescent="0.35">
      <c r="A82" s="48">
        <f t="shared" si="32"/>
        <v>80</v>
      </c>
      <c r="B82" s="13"/>
      <c r="C82" s="13">
        <f>IF(Assumptions!E$23="Default",'Emission factors'!E82,IF(Assumptions!E$23="FMA",'Emission factors'!F82,G82))</f>
        <v>0</v>
      </c>
      <c r="D82" s="13"/>
      <c r="E82" s="13"/>
      <c r="F82" s="13"/>
      <c r="G82" s="24">
        <f t="shared" si="33"/>
        <v>2.2953333333334172</v>
      </c>
      <c r="AN82" s="13"/>
      <c r="AO82" s="13"/>
      <c r="AP82" s="24">
        <v>431.75574711894228</v>
      </c>
    </row>
    <row r="83" spans="1:42" x14ac:dyDescent="0.35">
      <c r="A83" s="48">
        <f t="shared" si="32"/>
        <v>81</v>
      </c>
      <c r="B83" s="13"/>
      <c r="C83" s="13">
        <f>IF(Assumptions!E$23="Default",'Emission factors'!E83,IF(Assumptions!E$23="FMA",'Emission factors'!F83,G83))</f>
        <v>0</v>
      </c>
      <c r="D83" s="13"/>
      <c r="E83" s="13"/>
      <c r="F83" s="13"/>
      <c r="G83" s="24">
        <f t="shared" si="33"/>
        <v>2.2953333333333035</v>
      </c>
      <c r="AN83" s="13"/>
      <c r="AO83" s="13"/>
      <c r="AP83" s="24">
        <v>434.0510804522757</v>
      </c>
    </row>
    <row r="84" spans="1:42" x14ac:dyDescent="0.35">
      <c r="A84" s="48">
        <f t="shared" si="32"/>
        <v>82</v>
      </c>
      <c r="B84" s="13"/>
      <c r="C84" s="13">
        <f>IF(Assumptions!E$23="Default",'Emission factors'!E84,IF(Assumptions!E$23="FMA",'Emission factors'!F84,G84))</f>
        <v>0</v>
      </c>
      <c r="D84" s="13"/>
      <c r="E84" s="13"/>
      <c r="F84" s="13"/>
      <c r="G84" s="24">
        <f t="shared" si="33"/>
        <v>2.2953333333333035</v>
      </c>
      <c r="AN84" s="13"/>
      <c r="AO84" s="13"/>
      <c r="AP84" s="24">
        <v>436.346413785609</v>
      </c>
    </row>
    <row r="85" spans="1:42" x14ac:dyDescent="0.35">
      <c r="A85" s="48">
        <f t="shared" si="32"/>
        <v>83</v>
      </c>
      <c r="B85" s="13"/>
      <c r="C85" s="13">
        <f>IF(Assumptions!E$23="Default",'Emission factors'!E85,IF(Assumptions!E$23="FMA",'Emission factors'!F85,G85))</f>
        <v>0</v>
      </c>
      <c r="D85" s="13"/>
      <c r="E85" s="13"/>
      <c r="F85" s="13"/>
      <c r="G85" s="24">
        <f t="shared" si="33"/>
        <v>2.2953333333334172</v>
      </c>
      <c r="AN85" s="13"/>
      <c r="AO85" s="13"/>
      <c r="AP85" s="24">
        <v>438.64174711894231</v>
      </c>
    </row>
    <row r="86" spans="1:42" x14ac:dyDescent="0.35">
      <c r="A86" s="48">
        <f t="shared" si="32"/>
        <v>84</v>
      </c>
      <c r="B86" s="13"/>
      <c r="C86" s="13">
        <f>IF(Assumptions!E$23="Default",'Emission factors'!E86,IF(Assumptions!E$23="FMA",'Emission factors'!F86,G86))</f>
        <v>0</v>
      </c>
      <c r="D86" s="13"/>
      <c r="E86" s="13"/>
      <c r="F86" s="13"/>
      <c r="G86" s="24">
        <f t="shared" si="33"/>
        <v>2.2953333333333035</v>
      </c>
      <c r="AN86" s="13"/>
      <c r="AO86" s="13"/>
      <c r="AP86" s="24">
        <v>440.93708045227572</v>
      </c>
    </row>
    <row r="87" spans="1:42" x14ac:dyDescent="0.35">
      <c r="A87" s="48">
        <f t="shared" si="32"/>
        <v>85</v>
      </c>
      <c r="B87" s="13"/>
      <c r="C87" s="13">
        <f>IF(Assumptions!E$23="Default",'Emission factors'!E87,IF(Assumptions!E$23="FMA",'Emission factors'!F87,G87))</f>
        <v>0</v>
      </c>
      <c r="D87" s="13"/>
      <c r="E87" s="13"/>
      <c r="F87" s="13"/>
      <c r="G87" s="24">
        <f t="shared" si="33"/>
        <v>2.2953333333334172</v>
      </c>
      <c r="AN87" s="13"/>
      <c r="AO87" s="13"/>
      <c r="AP87" s="24">
        <v>443.23241378560903</v>
      </c>
    </row>
    <row r="88" spans="1:42" x14ac:dyDescent="0.35">
      <c r="A88" s="48">
        <f t="shared" si="32"/>
        <v>86</v>
      </c>
      <c r="B88" s="13"/>
      <c r="C88" s="13">
        <f>IF(Assumptions!E$23="Default",'Emission factors'!E88,IF(Assumptions!E$23="FMA",'Emission factors'!F88,G88))</f>
        <v>0</v>
      </c>
      <c r="D88" s="13"/>
      <c r="E88" s="13"/>
      <c r="F88" s="13"/>
      <c r="G88" s="24">
        <f t="shared" si="33"/>
        <v>2.2953333333333035</v>
      </c>
      <c r="AN88" s="13"/>
      <c r="AO88" s="13"/>
      <c r="AP88" s="24">
        <v>445.52774711894244</v>
      </c>
    </row>
    <row r="89" spans="1:42" x14ac:dyDescent="0.35">
      <c r="A89" s="48">
        <f t="shared" si="32"/>
        <v>87</v>
      </c>
      <c r="B89" s="13"/>
      <c r="C89" s="13">
        <f>IF(Assumptions!E$23="Default",'Emission factors'!E89,IF(Assumptions!E$23="FMA",'Emission factors'!F89,G89))</f>
        <v>0</v>
      </c>
      <c r="D89" s="13"/>
      <c r="E89" s="13"/>
      <c r="F89" s="13"/>
      <c r="G89" s="24">
        <f t="shared" si="33"/>
        <v>2.2953333333333603</v>
      </c>
      <c r="AN89" s="13"/>
      <c r="AO89" s="13"/>
      <c r="AP89" s="24">
        <v>447.82308045227575</v>
      </c>
    </row>
    <row r="90" spans="1:42" x14ac:dyDescent="0.35">
      <c r="A90" s="48">
        <f t="shared" si="32"/>
        <v>88</v>
      </c>
      <c r="B90" s="13"/>
      <c r="C90" s="13">
        <f>IF(Assumptions!E$23="Default",'Emission factors'!E90,IF(Assumptions!E$23="FMA",'Emission factors'!F90,G90))</f>
        <v>0</v>
      </c>
      <c r="D90" s="13"/>
      <c r="E90" s="13"/>
      <c r="F90" s="13"/>
      <c r="G90" s="24">
        <f t="shared" si="33"/>
        <v>2.2953333333333603</v>
      </c>
      <c r="AN90" s="13"/>
      <c r="AO90" s="13"/>
      <c r="AP90" s="24">
        <v>450.11841378560911</v>
      </c>
    </row>
    <row r="91" spans="1:42" x14ac:dyDescent="0.35">
      <c r="A91" s="48">
        <f t="shared" si="32"/>
        <v>89</v>
      </c>
      <c r="B91" s="13"/>
      <c r="C91" s="13">
        <f>IF(Assumptions!E$23="Default",'Emission factors'!E91,IF(Assumptions!E$23="FMA",'Emission factors'!F91,G91))</f>
        <v>0</v>
      </c>
      <c r="D91" s="13"/>
      <c r="E91" s="13"/>
      <c r="F91" s="13"/>
      <c r="G91" s="24">
        <f t="shared" si="33"/>
        <v>2.2953333333333603</v>
      </c>
      <c r="AN91" s="13"/>
      <c r="AO91" s="13"/>
      <c r="AP91" s="24">
        <v>452.41374711894247</v>
      </c>
    </row>
    <row r="92" spans="1:42" x14ac:dyDescent="0.35">
      <c r="A92" s="48">
        <f t="shared" si="32"/>
        <v>90</v>
      </c>
      <c r="B92" s="13"/>
      <c r="C92" s="13">
        <f>IF(Assumptions!E$23="Default",'Emission factors'!E92,IF(Assumptions!E$23="FMA",'Emission factors'!F92,G92))</f>
        <v>0</v>
      </c>
      <c r="D92" s="13"/>
      <c r="E92" s="13"/>
      <c r="F92" s="13"/>
      <c r="G92" s="24">
        <f t="shared" si="33"/>
        <v>2.2953333333333035</v>
      </c>
      <c r="AN92" s="13"/>
      <c r="AO92" s="13"/>
      <c r="AP92" s="24">
        <v>454.70908045227583</v>
      </c>
    </row>
    <row r="93" spans="1:42" x14ac:dyDescent="0.35">
      <c r="A93" s="48">
        <f t="shared" si="32"/>
        <v>91</v>
      </c>
      <c r="B93" s="13"/>
      <c r="C93" s="13">
        <f>IF(Assumptions!E$23="Default",'Emission factors'!E93,IF(Assumptions!E$23="FMA",'Emission factors'!F93,G93))</f>
        <v>0</v>
      </c>
      <c r="D93" s="13"/>
      <c r="E93" s="13"/>
      <c r="F93" s="13"/>
      <c r="G93" s="24">
        <f t="shared" si="33"/>
        <v>2.2953333333334172</v>
      </c>
      <c r="AN93" s="13"/>
      <c r="AO93" s="13"/>
      <c r="AP93" s="24">
        <v>457.00441378560913</v>
      </c>
    </row>
    <row r="94" spans="1:42" x14ac:dyDescent="0.35">
      <c r="A94" s="48">
        <f t="shared" si="32"/>
        <v>92</v>
      </c>
      <c r="B94" s="13"/>
      <c r="C94" s="13">
        <f>IF(Assumptions!E$23="Default",'Emission factors'!E94,IF(Assumptions!E$23="FMA",'Emission factors'!F94,G94))</f>
        <v>0</v>
      </c>
      <c r="D94" s="13"/>
      <c r="E94" s="13"/>
      <c r="F94" s="13"/>
      <c r="G94" s="24">
        <f t="shared" si="33"/>
        <v>2.2953333333333035</v>
      </c>
      <c r="AN94" s="13"/>
      <c r="AO94" s="13"/>
      <c r="AP94" s="24">
        <v>459.29974711894255</v>
      </c>
    </row>
    <row r="95" spans="1:42" x14ac:dyDescent="0.35">
      <c r="A95" s="48">
        <f t="shared" si="32"/>
        <v>93</v>
      </c>
      <c r="B95" s="13"/>
      <c r="C95" s="13">
        <f>IF(Assumptions!E$23="Default",'Emission factors'!E95,IF(Assumptions!E$23="FMA",'Emission factors'!F95,G95))</f>
        <v>0</v>
      </c>
      <c r="D95" s="13"/>
      <c r="E95" s="13"/>
      <c r="F95" s="13"/>
      <c r="G95" s="24">
        <f t="shared" si="33"/>
        <v>2.2953333333334172</v>
      </c>
      <c r="AN95" s="13"/>
      <c r="AO95" s="13"/>
      <c r="AP95" s="24">
        <v>461.59508045227585</v>
      </c>
    </row>
    <row r="96" spans="1:42" x14ac:dyDescent="0.35">
      <c r="A96" s="48">
        <f t="shared" si="32"/>
        <v>94</v>
      </c>
      <c r="B96" s="13"/>
      <c r="C96" s="13">
        <f>IF(Assumptions!E$23="Default",'Emission factors'!E96,IF(Assumptions!E$23="FMA",'Emission factors'!F96,G96))</f>
        <v>0</v>
      </c>
      <c r="D96" s="13"/>
      <c r="E96" s="13"/>
      <c r="F96" s="13"/>
      <c r="G96" s="24">
        <f t="shared" si="33"/>
        <v>2.2953333333333035</v>
      </c>
      <c r="AN96" s="13"/>
      <c r="AO96" s="13"/>
      <c r="AP96" s="24">
        <v>463.89041378560927</v>
      </c>
    </row>
    <row r="97" spans="1:42" x14ac:dyDescent="0.35">
      <c r="A97" s="48">
        <f t="shared" si="32"/>
        <v>95</v>
      </c>
      <c r="B97" s="13"/>
      <c r="C97" s="13">
        <f>IF(Assumptions!E$23="Default",'Emission factors'!E97,IF(Assumptions!E$23="FMA",'Emission factors'!F97,G97))</f>
        <v>0</v>
      </c>
      <c r="D97" s="13"/>
      <c r="E97" s="13"/>
      <c r="F97" s="13"/>
      <c r="G97" s="24">
        <f t="shared" si="33"/>
        <v>2.2953333333333035</v>
      </c>
      <c r="AN97" s="13"/>
      <c r="AO97" s="13"/>
      <c r="AP97" s="24">
        <v>466.18574711894257</v>
      </c>
    </row>
    <row r="98" spans="1:42" x14ac:dyDescent="0.35">
      <c r="A98" s="48">
        <f t="shared" si="32"/>
        <v>96</v>
      </c>
      <c r="B98" s="13"/>
      <c r="C98" s="13">
        <f>IF(Assumptions!E$23="Default",'Emission factors'!E98,IF(Assumptions!E$23="FMA",'Emission factors'!F98,G98))</f>
        <v>0</v>
      </c>
      <c r="D98" s="13"/>
      <c r="E98" s="13"/>
      <c r="F98" s="13"/>
      <c r="G98" s="24">
        <f t="shared" si="33"/>
        <v>2.2953333333333603</v>
      </c>
      <c r="AN98" s="13"/>
      <c r="AO98" s="13"/>
      <c r="AP98" s="24">
        <v>468.48108045227588</v>
      </c>
    </row>
    <row r="99" spans="1:42" x14ac:dyDescent="0.35">
      <c r="A99" s="48">
        <f t="shared" si="32"/>
        <v>97</v>
      </c>
      <c r="B99" s="13"/>
      <c r="C99" s="13">
        <f>IF(Assumptions!E$23="Default",'Emission factors'!E99,IF(Assumptions!E$23="FMA",'Emission factors'!F99,G99))</f>
        <v>0</v>
      </c>
      <c r="D99" s="13"/>
      <c r="E99" s="13"/>
      <c r="F99" s="13"/>
      <c r="G99" s="24">
        <f t="shared" si="33"/>
        <v>2.2953333333333035</v>
      </c>
      <c r="AN99" s="13"/>
      <c r="AO99" s="13"/>
      <c r="AP99" s="24">
        <v>470.77641378560924</v>
      </c>
    </row>
    <row r="100" spans="1:42" x14ac:dyDescent="0.35">
      <c r="A100" s="48">
        <f t="shared" si="32"/>
        <v>98</v>
      </c>
      <c r="B100" s="13"/>
      <c r="C100" s="13">
        <f>IF(Assumptions!E$23="Default",'Emission factors'!E100,IF(Assumptions!E$23="FMA",'Emission factors'!F100,G100))</f>
        <v>0</v>
      </c>
      <c r="D100" s="13"/>
      <c r="E100" s="13"/>
      <c r="F100" s="13"/>
      <c r="G100" s="24">
        <f t="shared" si="33"/>
        <v>2.2953333333334172</v>
      </c>
      <c r="AN100" s="13"/>
      <c r="AO100" s="13"/>
      <c r="AP100" s="24">
        <v>473.07174711894254</v>
      </c>
    </row>
    <row r="101" spans="1:42" x14ac:dyDescent="0.35">
      <c r="A101" s="48">
        <f t="shared" si="32"/>
        <v>99</v>
      </c>
      <c r="B101" s="13"/>
      <c r="C101" s="13">
        <f>IF(Assumptions!E$23="Default",'Emission factors'!E101,IF(Assumptions!E$23="FMA",'Emission factors'!F101,G101))</f>
        <v>0</v>
      </c>
      <c r="D101" s="13"/>
      <c r="E101" s="13"/>
      <c r="F101" s="13"/>
      <c r="G101" s="24">
        <f t="shared" si="33"/>
        <v>2.2953333333333035</v>
      </c>
      <c r="AN101" s="13"/>
      <c r="AO101" s="13"/>
      <c r="AP101" s="24">
        <v>475.36708045227596</v>
      </c>
    </row>
    <row r="102" spans="1:42" x14ac:dyDescent="0.35">
      <c r="A102" s="48">
        <f t="shared" si="32"/>
        <v>100</v>
      </c>
      <c r="B102" s="13"/>
      <c r="C102" s="13">
        <f>IF(Assumptions!E$23="Default",'Emission factors'!E102,IF(Assumptions!E$23="FMA",'Emission factors'!F102,G102))</f>
        <v>0</v>
      </c>
      <c r="D102" s="13"/>
      <c r="E102" s="13"/>
      <c r="F102" s="13"/>
      <c r="G102" s="24">
        <f t="shared" si="33"/>
        <v>2.2953333333333035</v>
      </c>
      <c r="AN102" s="13"/>
      <c r="AO102" s="13"/>
      <c r="AP102" s="24">
        <v>477.66241378560926</v>
      </c>
    </row>
    <row r="103" spans="1:42" x14ac:dyDescent="0.35">
      <c r="A103" s="48">
        <f t="shared" si="32"/>
        <v>101</v>
      </c>
      <c r="B103" s="13"/>
      <c r="C103" s="13">
        <f>IF(Assumptions!E$23="Default",'Emission factors'!E103,IF(Assumptions!E$23="FMA",'Emission factors'!F103,G103))</f>
        <v>0</v>
      </c>
      <c r="D103" s="13"/>
      <c r="E103" s="13"/>
      <c r="F103" s="13"/>
      <c r="G103" s="24">
        <f t="shared" si="33"/>
        <v>2.2953333333334172</v>
      </c>
      <c r="AN103" s="13"/>
      <c r="AO103" s="13"/>
      <c r="AP103" s="24">
        <v>479.95774711894256</v>
      </c>
    </row>
    <row r="104" spans="1:42" x14ac:dyDescent="0.35">
      <c r="A104" s="48">
        <f t="shared" si="32"/>
        <v>102</v>
      </c>
      <c r="B104" s="13"/>
      <c r="C104" s="13">
        <f>IF(Assumptions!E$23="Default",'Emission factors'!E104,IF(Assumptions!E$23="FMA",'Emission factors'!F104,G104))</f>
        <v>0</v>
      </c>
      <c r="D104" s="13"/>
      <c r="E104" s="13"/>
      <c r="F104" s="13"/>
      <c r="G104" s="24">
        <f t="shared" si="33"/>
        <v>2.2953333333333035</v>
      </c>
      <c r="AN104" s="13"/>
      <c r="AO104" s="13"/>
      <c r="AP104" s="24">
        <v>482.25308045227598</v>
      </c>
    </row>
    <row r="105" spans="1:42" x14ac:dyDescent="0.35">
      <c r="A105" s="48">
        <f t="shared" si="32"/>
        <v>103</v>
      </c>
      <c r="B105" s="13"/>
      <c r="C105" s="13">
        <f>IF(Assumptions!E$23="Default",'Emission factors'!E105,IF(Assumptions!E$23="FMA",'Emission factors'!F105,G105))</f>
        <v>0</v>
      </c>
      <c r="D105" s="13"/>
      <c r="E105" s="13"/>
      <c r="F105" s="13"/>
      <c r="G105" s="24">
        <f t="shared" si="33"/>
        <v>2.2953333333334172</v>
      </c>
      <c r="AN105" s="13"/>
      <c r="AO105" s="13"/>
      <c r="AP105" s="24">
        <v>484.54841378560928</v>
      </c>
    </row>
    <row r="106" spans="1:42" x14ac:dyDescent="0.35">
      <c r="A106" s="48">
        <f t="shared" si="32"/>
        <v>104</v>
      </c>
      <c r="B106" s="13"/>
      <c r="C106" s="13">
        <f>IF(Assumptions!E$23="Default",'Emission factors'!E106,IF(Assumptions!E$23="FMA",'Emission factors'!F106,G106))</f>
        <v>0</v>
      </c>
      <c r="D106" s="13"/>
      <c r="E106" s="13"/>
      <c r="F106" s="13"/>
      <c r="G106" s="24">
        <f t="shared" si="33"/>
        <v>2.2953333333333035</v>
      </c>
      <c r="AN106" s="13"/>
      <c r="AO106" s="13"/>
      <c r="AP106" s="24">
        <v>486.8437471189427</v>
      </c>
    </row>
    <row r="107" spans="1:42" x14ac:dyDescent="0.35">
      <c r="A107" s="48">
        <f t="shared" si="32"/>
        <v>105</v>
      </c>
      <c r="B107" s="13"/>
      <c r="C107" s="13">
        <f>IF(Assumptions!E$23="Default",'Emission factors'!E107,IF(Assumptions!E$23="FMA",'Emission factors'!F107,G107))</f>
        <v>0</v>
      </c>
      <c r="D107" s="13"/>
      <c r="E107" s="13"/>
      <c r="F107" s="13"/>
      <c r="G107" s="24">
        <f t="shared" si="33"/>
        <v>2.2953333333333603</v>
      </c>
      <c r="AN107" s="13"/>
      <c r="AO107" s="13"/>
      <c r="AP107" s="24">
        <v>489.139080452276</v>
      </c>
    </row>
    <row r="108" spans="1:42" x14ac:dyDescent="0.35">
      <c r="A108" s="48">
        <f t="shared" si="32"/>
        <v>106</v>
      </c>
      <c r="B108" s="13"/>
      <c r="C108" s="13">
        <f>IF(Assumptions!E$23="Default",'Emission factors'!E108,IF(Assumptions!E$23="FMA",'Emission factors'!F108,G108))</f>
        <v>0</v>
      </c>
      <c r="D108" s="13"/>
      <c r="E108" s="13"/>
      <c r="F108" s="13"/>
      <c r="G108" s="24">
        <f t="shared" si="33"/>
        <v>2.2953333333333603</v>
      </c>
      <c r="AN108" s="13"/>
      <c r="AO108" s="13"/>
      <c r="AP108" s="24">
        <v>491.43441378560937</v>
      </c>
    </row>
    <row r="109" spans="1:42" x14ac:dyDescent="0.35">
      <c r="A109" s="48">
        <f t="shared" si="32"/>
        <v>107</v>
      </c>
      <c r="B109" s="13"/>
      <c r="C109" s="13">
        <f>IF(Assumptions!E$23="Default",'Emission factors'!E109,IF(Assumptions!E$23="FMA",'Emission factors'!F109,G109))</f>
        <v>0</v>
      </c>
      <c r="D109" s="13"/>
      <c r="E109" s="13"/>
      <c r="F109" s="13"/>
      <c r="G109" s="24">
        <f t="shared" si="33"/>
        <v>2.2953333333333603</v>
      </c>
      <c r="AN109" s="13"/>
      <c r="AO109" s="13"/>
      <c r="AP109" s="24">
        <v>493.72974711894273</v>
      </c>
    </row>
    <row r="110" spans="1:42" x14ac:dyDescent="0.35">
      <c r="A110" s="48">
        <f t="shared" si="32"/>
        <v>108</v>
      </c>
      <c r="B110" s="13"/>
      <c r="C110" s="13">
        <f>IF(Assumptions!E$23="Default",'Emission factors'!E110,IF(Assumptions!E$23="FMA",'Emission factors'!F110,G110))</f>
        <v>0</v>
      </c>
      <c r="D110" s="13"/>
      <c r="E110" s="13"/>
      <c r="F110" s="13"/>
      <c r="G110" s="24">
        <f t="shared" si="33"/>
        <v>2.2953333333333603</v>
      </c>
      <c r="AN110" s="13"/>
      <c r="AO110" s="13"/>
      <c r="AP110" s="24">
        <v>496.02508045227609</v>
      </c>
    </row>
    <row r="111" spans="1:42" x14ac:dyDescent="0.35">
      <c r="A111" s="48">
        <f t="shared" si="32"/>
        <v>109</v>
      </c>
      <c r="B111" s="13"/>
      <c r="C111" s="13">
        <f>IF(Assumptions!E$23="Default",'Emission factors'!E111,IF(Assumptions!E$23="FMA",'Emission factors'!F111,G111))</f>
        <v>0</v>
      </c>
      <c r="D111" s="13"/>
      <c r="E111" s="13"/>
      <c r="F111" s="13"/>
      <c r="G111" s="24">
        <f t="shared" si="33"/>
        <v>2.2953333333333603</v>
      </c>
      <c r="AN111" s="13"/>
      <c r="AO111" s="13"/>
      <c r="AP111" s="24">
        <v>498.32041378560945</v>
      </c>
    </row>
    <row r="112" spans="1:42" x14ac:dyDescent="0.35">
      <c r="A112" s="48">
        <f t="shared" si="32"/>
        <v>110</v>
      </c>
      <c r="B112" s="13"/>
      <c r="C112" s="13">
        <f>IF(Assumptions!E$23="Default",'Emission factors'!E112,IF(Assumptions!E$23="FMA",'Emission factors'!F112,G112))</f>
        <v>0</v>
      </c>
      <c r="D112" s="13"/>
      <c r="E112" s="13"/>
      <c r="F112" s="13"/>
      <c r="G112" s="24">
        <f t="shared" si="33"/>
        <v>2.2953333333333035</v>
      </c>
      <c r="AN112" s="13"/>
      <c r="AO112" s="13"/>
      <c r="AP112" s="24">
        <v>500.61574711894281</v>
      </c>
    </row>
    <row r="113" spans="1:42" x14ac:dyDescent="0.35">
      <c r="A113" s="48">
        <f t="shared" si="32"/>
        <v>111</v>
      </c>
      <c r="B113" s="13"/>
      <c r="C113" s="13">
        <f>IF(Assumptions!E$23="Default",'Emission factors'!E113,IF(Assumptions!E$23="FMA",'Emission factors'!F113,G113))</f>
        <v>0</v>
      </c>
      <c r="D113" s="13"/>
      <c r="E113" s="13"/>
      <c r="F113" s="13"/>
      <c r="G113" s="24">
        <f t="shared" si="33"/>
        <v>2.2953333333334172</v>
      </c>
      <c r="AN113" s="13"/>
      <c r="AO113" s="13"/>
      <c r="AP113" s="24">
        <v>502.91108045227611</v>
      </c>
    </row>
    <row r="114" spans="1:42" x14ac:dyDescent="0.35">
      <c r="A114" s="48">
        <f t="shared" si="32"/>
        <v>112</v>
      </c>
      <c r="B114" s="13"/>
      <c r="C114" s="13">
        <f>IF(Assumptions!E$23="Default",'Emission factors'!E114,IF(Assumptions!E$23="FMA",'Emission factors'!F114,G114))</f>
        <v>0</v>
      </c>
      <c r="D114" s="13"/>
      <c r="E114" s="13"/>
      <c r="F114" s="13"/>
      <c r="G114" s="24">
        <f t="shared" si="33"/>
        <v>2.2953333333333035</v>
      </c>
      <c r="AN114" s="13"/>
      <c r="AO114" s="13"/>
      <c r="AP114" s="24">
        <v>505.20641378560953</v>
      </c>
    </row>
    <row r="115" spans="1:42" x14ac:dyDescent="0.35">
      <c r="A115" s="48">
        <f t="shared" si="32"/>
        <v>113</v>
      </c>
      <c r="B115" s="13"/>
      <c r="C115" s="13">
        <f>IF(Assumptions!E$23="Default",'Emission factors'!E115,IF(Assumptions!E$23="FMA",'Emission factors'!F115,G115))</f>
        <v>0</v>
      </c>
      <c r="D115" s="13"/>
      <c r="E115" s="13"/>
      <c r="F115" s="13"/>
      <c r="G115" s="24">
        <f t="shared" si="33"/>
        <v>2.2953333333333035</v>
      </c>
      <c r="AN115" s="13"/>
      <c r="AO115" s="13"/>
      <c r="AP115" s="24">
        <v>507.50174711894283</v>
      </c>
    </row>
    <row r="116" spans="1:42" x14ac:dyDescent="0.35">
      <c r="A116" s="48">
        <f t="shared" si="32"/>
        <v>114</v>
      </c>
      <c r="B116" s="13"/>
      <c r="C116" s="13">
        <f>IF(Assumptions!E$23="Default",'Emission factors'!E116,IF(Assumptions!E$23="FMA",'Emission factors'!F116,G116))</f>
        <v>0</v>
      </c>
      <c r="D116" s="13"/>
      <c r="E116" s="13"/>
      <c r="F116" s="13"/>
      <c r="G116" s="24">
        <f t="shared" si="33"/>
        <v>2.2953333333334172</v>
      </c>
      <c r="AN116" s="13"/>
      <c r="AO116" s="13"/>
      <c r="AP116" s="24">
        <v>509.79708045227613</v>
      </c>
    </row>
    <row r="117" spans="1:42" x14ac:dyDescent="0.35">
      <c r="A117" s="48">
        <f t="shared" si="32"/>
        <v>115</v>
      </c>
      <c r="B117" s="13"/>
      <c r="C117" s="13">
        <f>IF(Assumptions!E$23="Default",'Emission factors'!E117,IF(Assumptions!E$23="FMA",'Emission factors'!F117,G117))</f>
        <v>0</v>
      </c>
      <c r="D117" s="13"/>
      <c r="E117" s="13"/>
      <c r="F117" s="13"/>
      <c r="G117" s="24">
        <f t="shared" si="33"/>
        <v>2.2953333333333603</v>
      </c>
      <c r="AN117" s="13"/>
      <c r="AO117" s="13"/>
      <c r="AP117" s="24">
        <v>512.09241378560955</v>
      </c>
    </row>
    <row r="118" spans="1:42" x14ac:dyDescent="0.35">
      <c r="A118" s="48">
        <f t="shared" si="32"/>
        <v>116</v>
      </c>
      <c r="B118" s="13"/>
      <c r="C118" s="13">
        <f>IF(Assumptions!E$23="Default",'Emission factors'!E118,IF(Assumptions!E$23="FMA",'Emission factors'!F118,G118))</f>
        <v>0</v>
      </c>
      <c r="D118" s="13"/>
      <c r="E118" s="13"/>
      <c r="F118" s="13"/>
      <c r="G118" s="24">
        <f t="shared" si="33"/>
        <v>2.2953333333332466</v>
      </c>
      <c r="AN118" s="13"/>
      <c r="AO118" s="13"/>
      <c r="AP118" s="24">
        <v>514.38774711894291</v>
      </c>
    </row>
    <row r="119" spans="1:42" x14ac:dyDescent="0.35">
      <c r="A119" s="48">
        <f t="shared" si="32"/>
        <v>117</v>
      </c>
      <c r="B119" s="13"/>
      <c r="C119" s="13">
        <f>IF(Assumptions!E$23="Default",'Emission factors'!E119,IF(Assumptions!E$23="FMA",'Emission factors'!F119,G119))</f>
        <v>0</v>
      </c>
      <c r="D119" s="13"/>
      <c r="E119" s="13"/>
      <c r="F119" s="13"/>
      <c r="G119" s="24">
        <f t="shared" si="33"/>
        <v>2.295333333333474</v>
      </c>
      <c r="AN119" s="13"/>
      <c r="AO119" s="13"/>
      <c r="AP119" s="24">
        <v>516.68308045227616</v>
      </c>
    </row>
    <row r="120" spans="1:42" x14ac:dyDescent="0.35">
      <c r="A120" s="48">
        <f t="shared" si="32"/>
        <v>118</v>
      </c>
      <c r="B120" s="13"/>
      <c r="C120" s="13">
        <f>IF(Assumptions!E$23="Default",'Emission factors'!E120,IF(Assumptions!E$23="FMA",'Emission factors'!F120,G120))</f>
        <v>0</v>
      </c>
      <c r="D120" s="13"/>
      <c r="E120" s="13"/>
      <c r="F120" s="13"/>
      <c r="G120" s="24">
        <f t="shared" si="33"/>
        <v>2.2953333333332466</v>
      </c>
      <c r="AN120" s="13"/>
      <c r="AO120" s="13"/>
      <c r="AP120" s="24">
        <v>518.97841378560963</v>
      </c>
    </row>
    <row r="121" spans="1:42" x14ac:dyDescent="0.35">
      <c r="A121" s="48">
        <f t="shared" si="32"/>
        <v>119</v>
      </c>
      <c r="B121" s="13"/>
      <c r="C121" s="13">
        <f>IF(Assumptions!E$23="Default",'Emission factors'!E121,IF(Assumptions!E$23="FMA",'Emission factors'!F121,G121))</f>
        <v>0</v>
      </c>
      <c r="D121" s="13"/>
      <c r="E121" s="13"/>
      <c r="F121" s="13"/>
      <c r="G121" s="24">
        <f t="shared" si="33"/>
        <v>2.295333333333474</v>
      </c>
      <c r="AN121" s="13"/>
      <c r="AO121" s="13"/>
      <c r="AP121" s="24">
        <v>521.27374711894288</v>
      </c>
    </row>
    <row r="122" spans="1:42" x14ac:dyDescent="0.35">
      <c r="A122" s="48">
        <f t="shared" si="32"/>
        <v>120</v>
      </c>
      <c r="B122" s="13"/>
      <c r="C122" s="13">
        <f>IF(Assumptions!E$23="Default",'Emission factors'!E122,IF(Assumptions!E$23="FMA",'Emission factors'!F122,G122))</f>
        <v>0</v>
      </c>
      <c r="D122" s="13"/>
      <c r="E122" s="13"/>
      <c r="F122" s="13"/>
      <c r="G122" s="24">
        <f t="shared" si="33"/>
        <v>2.2953333333332466</v>
      </c>
      <c r="AN122" s="13"/>
      <c r="AO122" s="13"/>
      <c r="AP122" s="24">
        <v>523.56908045227635</v>
      </c>
    </row>
    <row r="123" spans="1:42" x14ac:dyDescent="0.35">
      <c r="A123" s="48">
        <f t="shared" si="32"/>
        <v>121</v>
      </c>
      <c r="B123" s="13"/>
      <c r="C123" s="13">
        <f>IF(Assumptions!E$23="Default",'Emission factors'!E123,IF(Assumptions!E$23="FMA",'Emission factors'!F123,G123))</f>
        <v>0</v>
      </c>
      <c r="D123" s="13"/>
      <c r="E123" s="13"/>
      <c r="F123" s="13"/>
      <c r="G123" s="24">
        <f t="shared" si="33"/>
        <v>2.2953333333333603</v>
      </c>
      <c r="AN123" s="13"/>
      <c r="AO123" s="13"/>
      <c r="AP123" s="24">
        <v>525.8644137856096</v>
      </c>
    </row>
    <row r="124" spans="1:42" x14ac:dyDescent="0.35">
      <c r="A124" s="48">
        <f t="shared" si="32"/>
        <v>122</v>
      </c>
      <c r="B124" s="13"/>
      <c r="C124" s="13">
        <f>IF(Assumptions!E$23="Default",'Emission factors'!E124,IF(Assumptions!E$23="FMA",'Emission factors'!F124,G124))</f>
        <v>0</v>
      </c>
      <c r="D124" s="13"/>
      <c r="E124" s="13"/>
      <c r="F124" s="13"/>
      <c r="G124" s="24">
        <f t="shared" si="33"/>
        <v>2.2953333333333603</v>
      </c>
      <c r="AN124" s="13"/>
      <c r="AO124" s="13"/>
      <c r="AP124" s="24">
        <v>528.15974711894296</v>
      </c>
    </row>
    <row r="125" spans="1:42" x14ac:dyDescent="0.35">
      <c r="A125" s="48">
        <f t="shared" si="32"/>
        <v>123</v>
      </c>
      <c r="B125" s="13"/>
      <c r="C125" s="13">
        <f>IF(Assumptions!E$23="Default",'Emission factors'!E125,IF(Assumptions!E$23="FMA",'Emission factors'!F125,G125))</f>
        <v>0</v>
      </c>
      <c r="D125" s="13"/>
      <c r="E125" s="13"/>
      <c r="F125" s="13"/>
      <c r="G125" s="24">
        <f t="shared" si="33"/>
        <v>2.2953333333333603</v>
      </c>
      <c r="AN125" s="13"/>
      <c r="AO125" s="13"/>
      <c r="AP125" s="24">
        <v>530.45508045227632</v>
      </c>
    </row>
    <row r="126" spans="1:42" x14ac:dyDescent="0.35">
      <c r="A126" s="48">
        <f t="shared" si="32"/>
        <v>124</v>
      </c>
      <c r="B126" s="13"/>
      <c r="C126" s="13">
        <f>IF(Assumptions!E$23="Default",'Emission factors'!E126,IF(Assumptions!E$23="FMA",'Emission factors'!F126,G126))</f>
        <v>0</v>
      </c>
      <c r="D126" s="13"/>
      <c r="E126" s="13"/>
      <c r="F126" s="13"/>
      <c r="G126" s="24">
        <f t="shared" si="33"/>
        <v>2.2953333333333603</v>
      </c>
      <c r="AN126" s="13"/>
      <c r="AO126" s="13"/>
      <c r="AP126" s="24">
        <v>532.75041378560968</v>
      </c>
    </row>
    <row r="127" spans="1:42" x14ac:dyDescent="0.35">
      <c r="A127" s="48">
        <f t="shared" si="32"/>
        <v>125</v>
      </c>
      <c r="B127" s="13"/>
      <c r="C127" s="13">
        <f>IF(Assumptions!E$23="Default",'Emission factors'!E127,IF(Assumptions!E$23="FMA",'Emission factors'!F127,G127))</f>
        <v>0</v>
      </c>
      <c r="D127" s="13"/>
      <c r="E127" s="13"/>
      <c r="F127" s="13"/>
      <c r="G127" s="24">
        <f t="shared" si="33"/>
        <v>2.2953333333333603</v>
      </c>
      <c r="AN127" s="13"/>
      <c r="AO127" s="13"/>
      <c r="AP127" s="24">
        <v>535.04574711894304</v>
      </c>
    </row>
    <row r="128" spans="1:42" x14ac:dyDescent="0.35">
      <c r="A128" s="48">
        <f t="shared" si="32"/>
        <v>126</v>
      </c>
      <c r="B128" s="13"/>
      <c r="C128" s="13">
        <f>IF(Assumptions!E$23="Default",'Emission factors'!E128,IF(Assumptions!E$23="FMA",'Emission factors'!F128,G128))</f>
        <v>0</v>
      </c>
      <c r="D128" s="13"/>
      <c r="E128" s="13"/>
      <c r="F128" s="13"/>
      <c r="G128" s="24">
        <f t="shared" si="33"/>
        <v>2.2953333333333603</v>
      </c>
      <c r="AN128" s="13"/>
      <c r="AO128" s="13"/>
      <c r="AP128" s="24">
        <v>537.3410804522764</v>
      </c>
    </row>
    <row r="129" spans="1:42" x14ac:dyDescent="0.35">
      <c r="A129" s="48">
        <f t="shared" si="32"/>
        <v>127</v>
      </c>
      <c r="B129" s="13"/>
      <c r="C129" s="13">
        <f>IF(Assumptions!E$23="Default",'Emission factors'!E129,IF(Assumptions!E$23="FMA",'Emission factors'!F129,G129))</f>
        <v>0</v>
      </c>
      <c r="D129" s="13"/>
      <c r="E129" s="13"/>
      <c r="F129" s="13"/>
      <c r="G129" s="24">
        <f t="shared" si="33"/>
        <v>2.2953333333333603</v>
      </c>
      <c r="AN129" s="13"/>
      <c r="AO129" s="13"/>
      <c r="AP129" s="24">
        <v>539.63641378560976</v>
      </c>
    </row>
    <row r="130" spans="1:42" x14ac:dyDescent="0.35">
      <c r="A130" s="48">
        <f t="shared" si="32"/>
        <v>128</v>
      </c>
      <c r="B130" s="13"/>
      <c r="C130" s="13">
        <f>IF(Assumptions!E$23="Default",'Emission factors'!E130,IF(Assumptions!E$23="FMA",'Emission factors'!F130,G130))</f>
        <v>0</v>
      </c>
      <c r="D130" s="13"/>
      <c r="E130" s="13"/>
      <c r="F130" s="13"/>
      <c r="G130" s="24">
        <f t="shared" si="33"/>
        <v>2.2953333333333603</v>
      </c>
      <c r="AN130" s="13"/>
      <c r="AO130" s="13"/>
      <c r="AP130" s="24">
        <v>541.93174711894312</v>
      </c>
    </row>
    <row r="131" spans="1:42" x14ac:dyDescent="0.35">
      <c r="A131" s="48">
        <f t="shared" si="32"/>
        <v>129</v>
      </c>
      <c r="B131" s="13"/>
      <c r="C131" s="13">
        <f>IF(Assumptions!E$23="Default",'Emission factors'!E131,IF(Assumptions!E$23="FMA",'Emission factors'!F131,G131))</f>
        <v>0</v>
      </c>
      <c r="D131" s="13"/>
      <c r="E131" s="13"/>
      <c r="F131" s="13"/>
      <c r="G131" s="24">
        <f t="shared" si="33"/>
        <v>2.2953333333332466</v>
      </c>
      <c r="AN131" s="13"/>
      <c r="AO131" s="13"/>
      <c r="AP131" s="24">
        <v>544.22708045227648</v>
      </c>
    </row>
    <row r="132" spans="1:42" x14ac:dyDescent="0.35">
      <c r="A132" s="48">
        <f t="shared" si="32"/>
        <v>130</v>
      </c>
      <c r="B132" s="13"/>
      <c r="C132" s="13">
        <f>IF(Assumptions!E$23="Default",'Emission factors'!E132,IF(Assumptions!E$23="FMA",'Emission factors'!F132,G132))</f>
        <v>0</v>
      </c>
      <c r="D132" s="13"/>
      <c r="E132" s="13"/>
      <c r="F132" s="13"/>
      <c r="G132" s="24">
        <f t="shared" ref="G132:G195" si="34">AP133-AP132</f>
        <v>2.295333333333474</v>
      </c>
      <c r="AN132" s="13"/>
      <c r="AO132" s="13"/>
      <c r="AP132" s="24">
        <v>546.52241378560973</v>
      </c>
    </row>
    <row r="133" spans="1:42" x14ac:dyDescent="0.35">
      <c r="A133" s="48">
        <f t="shared" ref="A133:A196" si="35">A132+1</f>
        <v>131</v>
      </c>
      <c r="B133" s="13"/>
      <c r="C133" s="13">
        <f>IF(Assumptions!E$23="Default",'Emission factors'!E133,IF(Assumptions!E$23="FMA",'Emission factors'!F133,G133))</f>
        <v>0</v>
      </c>
      <c r="D133" s="13"/>
      <c r="E133" s="13"/>
      <c r="F133" s="13"/>
      <c r="G133" s="24">
        <f t="shared" si="34"/>
        <v>2.2953333333332466</v>
      </c>
      <c r="AN133" s="13"/>
      <c r="AO133" s="13"/>
      <c r="AP133" s="24">
        <v>548.8177471189432</v>
      </c>
    </row>
    <row r="134" spans="1:42" x14ac:dyDescent="0.35">
      <c r="A134" s="48">
        <f t="shared" si="35"/>
        <v>132</v>
      </c>
      <c r="B134" s="13"/>
      <c r="C134" s="13">
        <f>IF(Assumptions!E$23="Default",'Emission factors'!E134,IF(Assumptions!E$23="FMA",'Emission factors'!F134,G134))</f>
        <v>0</v>
      </c>
      <c r="D134" s="13"/>
      <c r="E134" s="13"/>
      <c r="F134" s="13"/>
      <c r="G134" s="24">
        <f t="shared" si="34"/>
        <v>2.2953333333333603</v>
      </c>
      <c r="AN134" s="13"/>
      <c r="AO134" s="13"/>
      <c r="AP134" s="24">
        <v>551.11308045227645</v>
      </c>
    </row>
    <row r="135" spans="1:42" x14ac:dyDescent="0.35">
      <c r="A135" s="48">
        <f t="shared" si="35"/>
        <v>133</v>
      </c>
      <c r="B135" s="13"/>
      <c r="C135" s="13">
        <f>IF(Assumptions!E$23="Default",'Emission factors'!E135,IF(Assumptions!E$23="FMA",'Emission factors'!F135,G135))</f>
        <v>0</v>
      </c>
      <c r="D135" s="13"/>
      <c r="E135" s="13"/>
      <c r="F135" s="13"/>
      <c r="G135" s="24">
        <f t="shared" si="34"/>
        <v>2.2953333333333603</v>
      </c>
      <c r="AN135" s="13"/>
      <c r="AO135" s="13"/>
      <c r="AP135" s="24">
        <v>553.40841378560981</v>
      </c>
    </row>
    <row r="136" spans="1:42" x14ac:dyDescent="0.35">
      <c r="A136" s="48">
        <f t="shared" si="35"/>
        <v>134</v>
      </c>
      <c r="B136" s="13"/>
      <c r="C136" s="13">
        <f>IF(Assumptions!E$23="Default",'Emission factors'!E136,IF(Assumptions!E$23="FMA",'Emission factors'!F136,G136))</f>
        <v>0</v>
      </c>
      <c r="D136" s="13"/>
      <c r="E136" s="13"/>
      <c r="F136" s="13"/>
      <c r="G136" s="24">
        <f t="shared" si="34"/>
        <v>2.2953333333333603</v>
      </c>
      <c r="AN136" s="13"/>
      <c r="AO136" s="13"/>
      <c r="AP136" s="24">
        <v>555.70374711894317</v>
      </c>
    </row>
    <row r="137" spans="1:42" x14ac:dyDescent="0.35">
      <c r="A137" s="48">
        <f t="shared" si="35"/>
        <v>135</v>
      </c>
      <c r="B137" s="13"/>
      <c r="C137" s="13">
        <f>IF(Assumptions!E$23="Default",'Emission factors'!E137,IF(Assumptions!E$23="FMA",'Emission factors'!F137,G137))</f>
        <v>0</v>
      </c>
      <c r="D137" s="13"/>
      <c r="E137" s="13"/>
      <c r="F137" s="13"/>
      <c r="G137" s="24">
        <f t="shared" si="34"/>
        <v>2.2953333333333603</v>
      </c>
      <c r="AN137" s="13"/>
      <c r="AO137" s="13"/>
      <c r="AP137" s="24">
        <v>557.99908045227653</v>
      </c>
    </row>
    <row r="138" spans="1:42" x14ac:dyDescent="0.35">
      <c r="A138" s="48">
        <f t="shared" si="35"/>
        <v>136</v>
      </c>
      <c r="B138" s="13"/>
      <c r="C138" s="13">
        <f>IF(Assumptions!E$23="Default",'Emission factors'!E138,IF(Assumptions!E$23="FMA",'Emission factors'!F138,G138))</f>
        <v>0</v>
      </c>
      <c r="D138" s="13"/>
      <c r="E138" s="13"/>
      <c r="F138" s="13"/>
      <c r="G138" s="24">
        <f t="shared" si="34"/>
        <v>2.2953333333333603</v>
      </c>
      <c r="AN138" s="13"/>
      <c r="AO138" s="13"/>
      <c r="AP138" s="24">
        <v>560.29441378560989</v>
      </c>
    </row>
    <row r="139" spans="1:42" x14ac:dyDescent="0.35">
      <c r="A139" s="48">
        <f t="shared" si="35"/>
        <v>137</v>
      </c>
      <c r="B139" s="13"/>
      <c r="C139" s="13">
        <f>IF(Assumptions!E$23="Default",'Emission factors'!E139,IF(Assumptions!E$23="FMA",'Emission factors'!F139,G139))</f>
        <v>0</v>
      </c>
      <c r="D139" s="13"/>
      <c r="E139" s="13"/>
      <c r="F139" s="13"/>
      <c r="G139" s="24">
        <f t="shared" si="34"/>
        <v>2.2953333333333603</v>
      </c>
      <c r="AN139" s="13"/>
      <c r="AO139" s="13"/>
      <c r="AP139" s="24">
        <v>562.58974711894325</v>
      </c>
    </row>
    <row r="140" spans="1:42" x14ac:dyDescent="0.35">
      <c r="A140" s="48">
        <f t="shared" si="35"/>
        <v>138</v>
      </c>
      <c r="B140" s="13"/>
      <c r="C140" s="13">
        <f>IF(Assumptions!E$23="Default",'Emission factors'!E140,IF(Assumptions!E$23="FMA",'Emission factors'!F140,G140))</f>
        <v>0</v>
      </c>
      <c r="D140" s="13"/>
      <c r="E140" s="13"/>
      <c r="F140" s="13"/>
      <c r="G140" s="24">
        <f t="shared" si="34"/>
        <v>2.2953333333333603</v>
      </c>
      <c r="AN140" s="13"/>
      <c r="AO140" s="13"/>
      <c r="AP140" s="24">
        <v>564.88508045227661</v>
      </c>
    </row>
    <row r="141" spans="1:42" x14ac:dyDescent="0.35">
      <c r="A141" s="48">
        <f t="shared" si="35"/>
        <v>139</v>
      </c>
      <c r="B141" s="13"/>
      <c r="C141" s="13">
        <f>IF(Assumptions!E$23="Default",'Emission factors'!E141,IF(Assumptions!E$23="FMA",'Emission factors'!F141,G141))</f>
        <v>0</v>
      </c>
      <c r="D141" s="13"/>
      <c r="E141" s="13"/>
      <c r="F141" s="13"/>
      <c r="G141" s="24">
        <f t="shared" si="34"/>
        <v>2.2953333333333603</v>
      </c>
      <c r="AN141" s="13"/>
      <c r="AO141" s="13"/>
      <c r="AP141" s="24">
        <v>567.18041378560997</v>
      </c>
    </row>
    <row r="142" spans="1:42" x14ac:dyDescent="0.35">
      <c r="A142" s="48">
        <f t="shared" si="35"/>
        <v>140</v>
      </c>
      <c r="B142" s="13"/>
      <c r="C142" s="13">
        <f>IF(Assumptions!E$23="Default",'Emission factors'!E142,IF(Assumptions!E$23="FMA",'Emission factors'!F142,G142))</f>
        <v>0</v>
      </c>
      <c r="D142" s="13"/>
      <c r="E142" s="13"/>
      <c r="F142" s="13"/>
      <c r="G142" s="24">
        <f t="shared" si="34"/>
        <v>2.2953333333333603</v>
      </c>
      <c r="AN142" s="13"/>
      <c r="AO142" s="13"/>
      <c r="AP142" s="24">
        <v>569.47574711894333</v>
      </c>
    </row>
    <row r="143" spans="1:42" x14ac:dyDescent="0.35">
      <c r="A143" s="48">
        <f t="shared" si="35"/>
        <v>141</v>
      </c>
      <c r="B143" s="13"/>
      <c r="C143" s="13">
        <f>IF(Assumptions!E$23="Default",'Emission factors'!E143,IF(Assumptions!E$23="FMA",'Emission factors'!F143,G143))</f>
        <v>0</v>
      </c>
      <c r="D143" s="13"/>
      <c r="E143" s="13"/>
      <c r="F143" s="13"/>
      <c r="G143" s="24">
        <f t="shared" si="34"/>
        <v>2.2953333333333603</v>
      </c>
      <c r="AN143" s="13"/>
      <c r="AO143" s="13"/>
      <c r="AP143" s="24">
        <v>571.77108045227669</v>
      </c>
    </row>
    <row r="144" spans="1:42" x14ac:dyDescent="0.35">
      <c r="A144" s="48">
        <f t="shared" si="35"/>
        <v>142</v>
      </c>
      <c r="B144" s="13"/>
      <c r="C144" s="13">
        <f>IF(Assumptions!E$23="Default",'Emission factors'!E144,IF(Assumptions!E$23="FMA",'Emission factors'!F144,G144))</f>
        <v>0</v>
      </c>
      <c r="D144" s="13"/>
      <c r="E144" s="13"/>
      <c r="F144" s="13"/>
      <c r="G144" s="24">
        <f t="shared" si="34"/>
        <v>2.2953333333332466</v>
      </c>
      <c r="AN144" s="13"/>
      <c r="AO144" s="13"/>
      <c r="AP144" s="24">
        <v>574.06641378561005</v>
      </c>
    </row>
    <row r="145" spans="1:42" x14ac:dyDescent="0.35">
      <c r="A145" s="48">
        <f t="shared" si="35"/>
        <v>143</v>
      </c>
      <c r="B145" s="13"/>
      <c r="C145" s="13">
        <f>IF(Assumptions!E$23="Default",'Emission factors'!E145,IF(Assumptions!E$23="FMA",'Emission factors'!F145,G145))</f>
        <v>0</v>
      </c>
      <c r="D145" s="13"/>
      <c r="E145" s="13"/>
      <c r="F145" s="13"/>
      <c r="G145" s="24">
        <f t="shared" si="34"/>
        <v>2.295333333333474</v>
      </c>
      <c r="AN145" s="13"/>
      <c r="AO145" s="13"/>
      <c r="AP145" s="24">
        <v>576.3617471189433</v>
      </c>
    </row>
    <row r="146" spans="1:42" x14ac:dyDescent="0.35">
      <c r="A146" s="48">
        <f t="shared" si="35"/>
        <v>144</v>
      </c>
      <c r="B146" s="13"/>
      <c r="C146" s="13">
        <f>IF(Assumptions!E$23="Default",'Emission factors'!E146,IF(Assumptions!E$23="FMA",'Emission factors'!F146,G146))</f>
        <v>0</v>
      </c>
      <c r="D146" s="13"/>
      <c r="E146" s="13"/>
      <c r="F146" s="13"/>
      <c r="G146" s="24">
        <f t="shared" si="34"/>
        <v>2.2953333333332466</v>
      </c>
      <c r="AN146" s="13"/>
      <c r="AO146" s="13"/>
      <c r="AP146" s="24">
        <v>578.65708045227677</v>
      </c>
    </row>
    <row r="147" spans="1:42" x14ac:dyDescent="0.35">
      <c r="A147" s="48">
        <f t="shared" si="35"/>
        <v>145</v>
      </c>
      <c r="B147" s="13"/>
      <c r="C147" s="13">
        <f>IF(Assumptions!E$23="Default",'Emission factors'!E147,IF(Assumptions!E$23="FMA",'Emission factors'!F147,G147))</f>
        <v>0</v>
      </c>
      <c r="D147" s="13"/>
      <c r="E147" s="13"/>
      <c r="F147" s="13"/>
      <c r="G147" s="24">
        <f t="shared" si="34"/>
        <v>2.2953333333333603</v>
      </c>
      <c r="AN147" s="13"/>
      <c r="AO147" s="13"/>
      <c r="AP147" s="24">
        <v>580.95241378561002</v>
      </c>
    </row>
    <row r="148" spans="1:42" x14ac:dyDescent="0.35">
      <c r="A148" s="48">
        <f t="shared" si="35"/>
        <v>146</v>
      </c>
      <c r="B148" s="13"/>
      <c r="C148" s="13">
        <f>IF(Assumptions!E$23="Default",'Emission factors'!E148,IF(Assumptions!E$23="FMA",'Emission factors'!F148,G148))</f>
        <v>0</v>
      </c>
      <c r="D148" s="13"/>
      <c r="E148" s="13"/>
      <c r="F148" s="13"/>
      <c r="G148" s="24">
        <f t="shared" si="34"/>
        <v>2.2953333333333603</v>
      </c>
      <c r="AN148" s="13"/>
      <c r="AO148" s="13"/>
      <c r="AP148" s="24">
        <v>583.24774711894338</v>
      </c>
    </row>
    <row r="149" spans="1:42" x14ac:dyDescent="0.35">
      <c r="A149" s="48">
        <f t="shared" si="35"/>
        <v>147</v>
      </c>
      <c r="B149" s="13"/>
      <c r="C149" s="13">
        <f>IF(Assumptions!E$23="Default",'Emission factors'!E149,IF(Assumptions!E$23="FMA",'Emission factors'!F149,G149))</f>
        <v>0</v>
      </c>
      <c r="D149" s="13"/>
      <c r="E149" s="13"/>
      <c r="F149" s="13"/>
      <c r="G149" s="24">
        <f t="shared" si="34"/>
        <v>2.2953333333333603</v>
      </c>
      <c r="AN149" s="13"/>
      <c r="AO149" s="13"/>
      <c r="AP149" s="24">
        <v>585.54308045227674</v>
      </c>
    </row>
    <row r="150" spans="1:42" x14ac:dyDescent="0.35">
      <c r="A150" s="48">
        <f t="shared" si="35"/>
        <v>148</v>
      </c>
      <c r="B150" s="13"/>
      <c r="C150" s="13">
        <f>IF(Assumptions!E$23="Default",'Emission factors'!E150,IF(Assumptions!E$23="FMA",'Emission factors'!F150,G150))</f>
        <v>0</v>
      </c>
      <c r="D150" s="13"/>
      <c r="E150" s="13"/>
      <c r="F150" s="13"/>
      <c r="G150" s="24">
        <f t="shared" si="34"/>
        <v>2.2953333333333603</v>
      </c>
      <c r="AN150" s="13"/>
      <c r="AO150" s="13"/>
      <c r="AP150" s="24">
        <v>587.8384137856101</v>
      </c>
    </row>
    <row r="151" spans="1:42" x14ac:dyDescent="0.35">
      <c r="A151" s="48">
        <f t="shared" si="35"/>
        <v>149</v>
      </c>
      <c r="B151" s="13"/>
      <c r="C151" s="13">
        <f>IF(Assumptions!E$23="Default",'Emission factors'!E151,IF(Assumptions!E$23="FMA",'Emission factors'!F151,G151))</f>
        <v>0</v>
      </c>
      <c r="D151" s="13"/>
      <c r="E151" s="13"/>
      <c r="F151" s="13"/>
      <c r="G151" s="24">
        <f t="shared" si="34"/>
        <v>2.2953333333333603</v>
      </c>
      <c r="AN151" s="13"/>
      <c r="AO151" s="13"/>
      <c r="AP151" s="24">
        <v>590.13374711894346</v>
      </c>
    </row>
    <row r="152" spans="1:42" x14ac:dyDescent="0.35">
      <c r="A152" s="48">
        <f t="shared" si="35"/>
        <v>150</v>
      </c>
      <c r="B152" s="13"/>
      <c r="C152" s="13">
        <f>IF(Assumptions!E$23="Default",'Emission factors'!E152,IF(Assumptions!E$23="FMA",'Emission factors'!F152,G152))</f>
        <v>0</v>
      </c>
      <c r="D152" s="13"/>
      <c r="E152" s="13"/>
      <c r="F152" s="13"/>
      <c r="G152" s="24">
        <f t="shared" si="34"/>
        <v>2.2953333333333603</v>
      </c>
      <c r="AN152" s="13"/>
      <c r="AO152" s="13"/>
      <c r="AP152" s="24">
        <v>592.42908045227682</v>
      </c>
    </row>
    <row r="153" spans="1:42" x14ac:dyDescent="0.35">
      <c r="A153" s="48">
        <f t="shared" si="35"/>
        <v>151</v>
      </c>
      <c r="B153" s="13"/>
      <c r="C153" s="13">
        <f>IF(Assumptions!E$23="Default",'Emission factors'!E153,IF(Assumptions!E$23="FMA",'Emission factors'!F153,G153))</f>
        <v>0</v>
      </c>
      <c r="D153" s="13"/>
      <c r="E153" s="13"/>
      <c r="F153" s="13"/>
      <c r="G153" s="24">
        <f t="shared" si="34"/>
        <v>2.2953333333333603</v>
      </c>
      <c r="AN153" s="13"/>
      <c r="AO153" s="13"/>
      <c r="AP153" s="24">
        <v>594.72441378561018</v>
      </c>
    </row>
    <row r="154" spans="1:42" x14ac:dyDescent="0.35">
      <c r="A154" s="48">
        <f t="shared" si="35"/>
        <v>152</v>
      </c>
      <c r="B154" s="13"/>
      <c r="C154" s="13">
        <f>IF(Assumptions!E$23="Default",'Emission factors'!E154,IF(Assumptions!E$23="FMA",'Emission factors'!F154,G154))</f>
        <v>0</v>
      </c>
      <c r="D154" s="13"/>
      <c r="E154" s="13"/>
      <c r="F154" s="13"/>
      <c r="G154" s="24">
        <f t="shared" si="34"/>
        <v>2.2953333333333603</v>
      </c>
      <c r="AN154" s="13"/>
      <c r="AO154" s="13"/>
      <c r="AP154" s="24">
        <v>597.01974711894354</v>
      </c>
    </row>
    <row r="155" spans="1:42" x14ac:dyDescent="0.35">
      <c r="A155" s="48">
        <f t="shared" si="35"/>
        <v>153</v>
      </c>
      <c r="B155" s="13"/>
      <c r="C155" s="13">
        <f>IF(Assumptions!E$23="Default",'Emission factors'!E155,IF(Assumptions!E$23="FMA",'Emission factors'!F155,G155))</f>
        <v>0</v>
      </c>
      <c r="D155" s="13"/>
      <c r="E155" s="13"/>
      <c r="F155" s="13"/>
      <c r="G155" s="24">
        <f t="shared" si="34"/>
        <v>2.2953333333332466</v>
      </c>
      <c r="AN155" s="13"/>
      <c r="AO155" s="13"/>
      <c r="AP155" s="24">
        <v>599.3150804522769</v>
      </c>
    </row>
    <row r="156" spans="1:42" x14ac:dyDescent="0.35">
      <c r="A156" s="48">
        <f t="shared" si="35"/>
        <v>154</v>
      </c>
      <c r="B156" s="13"/>
      <c r="C156" s="13">
        <f>IF(Assumptions!E$23="Default",'Emission factors'!E156,IF(Assumptions!E$23="FMA",'Emission factors'!F156,G156))</f>
        <v>0</v>
      </c>
      <c r="D156" s="13"/>
      <c r="E156" s="13"/>
      <c r="F156" s="13"/>
      <c r="G156" s="24">
        <f t="shared" si="34"/>
        <v>2.295333333333474</v>
      </c>
      <c r="AN156" s="13"/>
      <c r="AO156" s="13"/>
      <c r="AP156" s="24">
        <v>601.61041378561015</v>
      </c>
    </row>
    <row r="157" spans="1:42" x14ac:dyDescent="0.35">
      <c r="A157" s="48">
        <f t="shared" si="35"/>
        <v>155</v>
      </c>
      <c r="B157" s="13"/>
      <c r="C157" s="13">
        <f>IF(Assumptions!E$23="Default",'Emission factors'!E157,IF(Assumptions!E$23="FMA",'Emission factors'!F157,G157))</f>
        <v>0</v>
      </c>
      <c r="D157" s="13"/>
      <c r="E157" s="13"/>
      <c r="F157" s="13"/>
      <c r="G157" s="24">
        <f t="shared" si="34"/>
        <v>2.2953333333332466</v>
      </c>
      <c r="AN157" s="13"/>
      <c r="AO157" s="13"/>
      <c r="AP157" s="24">
        <v>603.90574711894362</v>
      </c>
    </row>
    <row r="158" spans="1:42" x14ac:dyDescent="0.35">
      <c r="A158" s="48">
        <f t="shared" si="35"/>
        <v>156</v>
      </c>
      <c r="B158" s="13"/>
      <c r="C158" s="13">
        <f>IF(Assumptions!E$23="Default",'Emission factors'!E158,IF(Assumptions!E$23="FMA",'Emission factors'!F158,G158))</f>
        <v>0</v>
      </c>
      <c r="D158" s="13"/>
      <c r="E158" s="13"/>
      <c r="F158" s="13"/>
      <c r="G158" s="24">
        <f t="shared" si="34"/>
        <v>2.295333333333474</v>
      </c>
      <c r="AN158" s="13"/>
      <c r="AO158" s="13"/>
      <c r="AP158" s="24">
        <v>606.20108045227687</v>
      </c>
    </row>
    <row r="159" spans="1:42" x14ac:dyDescent="0.35">
      <c r="A159" s="48">
        <f t="shared" si="35"/>
        <v>157</v>
      </c>
      <c r="B159" s="13"/>
      <c r="C159" s="13">
        <f>IF(Assumptions!E$23="Default",'Emission factors'!E159,IF(Assumptions!E$23="FMA",'Emission factors'!F159,G159))</f>
        <v>0</v>
      </c>
      <c r="D159" s="13"/>
      <c r="E159" s="13"/>
      <c r="F159" s="13"/>
      <c r="G159" s="24">
        <f t="shared" si="34"/>
        <v>2.2953333333332466</v>
      </c>
      <c r="AN159" s="13"/>
      <c r="AO159" s="13"/>
      <c r="AP159" s="24">
        <v>608.49641378561034</v>
      </c>
    </row>
    <row r="160" spans="1:42" x14ac:dyDescent="0.35">
      <c r="A160" s="48">
        <f t="shared" si="35"/>
        <v>158</v>
      </c>
      <c r="B160" s="13"/>
      <c r="C160" s="13">
        <f>IF(Assumptions!E$23="Default",'Emission factors'!E160,IF(Assumptions!E$23="FMA",'Emission factors'!F160,G160))</f>
        <v>0</v>
      </c>
      <c r="D160" s="13"/>
      <c r="E160" s="13"/>
      <c r="F160" s="13"/>
      <c r="G160" s="24">
        <f t="shared" si="34"/>
        <v>2.2953333333333603</v>
      </c>
      <c r="AN160" s="13"/>
      <c r="AO160" s="13"/>
      <c r="AP160" s="24">
        <v>610.79174711894359</v>
      </c>
    </row>
    <row r="161" spans="1:42" x14ac:dyDescent="0.35">
      <c r="A161" s="48">
        <f t="shared" si="35"/>
        <v>159</v>
      </c>
      <c r="B161" s="13"/>
      <c r="C161" s="13">
        <f>IF(Assumptions!E$23="Default",'Emission factors'!E161,IF(Assumptions!E$23="FMA",'Emission factors'!F161,G161))</f>
        <v>0</v>
      </c>
      <c r="D161" s="13"/>
      <c r="E161" s="13"/>
      <c r="F161" s="13"/>
      <c r="G161" s="24">
        <f t="shared" si="34"/>
        <v>2.2953333333333603</v>
      </c>
      <c r="AN161" s="13"/>
      <c r="AO161" s="13"/>
      <c r="AP161" s="24">
        <v>613.08708045227695</v>
      </c>
    </row>
    <row r="162" spans="1:42" x14ac:dyDescent="0.35">
      <c r="A162" s="48">
        <f t="shared" si="35"/>
        <v>160</v>
      </c>
      <c r="B162" s="13"/>
      <c r="C162" s="13">
        <f>IF(Assumptions!E$23="Default",'Emission factors'!E162,IF(Assumptions!E$23="FMA",'Emission factors'!F162,G162))</f>
        <v>0</v>
      </c>
      <c r="D162" s="13"/>
      <c r="E162" s="13"/>
      <c r="F162" s="13"/>
      <c r="G162" s="24">
        <f t="shared" si="34"/>
        <v>2.2953333333333603</v>
      </c>
      <c r="AN162" s="13"/>
      <c r="AO162" s="13"/>
      <c r="AP162" s="24">
        <v>615.38241378561031</v>
      </c>
    </row>
    <row r="163" spans="1:42" x14ac:dyDescent="0.35">
      <c r="A163" s="48">
        <f t="shared" si="35"/>
        <v>161</v>
      </c>
      <c r="B163" s="13"/>
      <c r="C163" s="13">
        <f>IF(Assumptions!E$23="Default",'Emission factors'!E163,IF(Assumptions!E$23="FMA",'Emission factors'!F163,G163))</f>
        <v>0</v>
      </c>
      <c r="D163" s="13"/>
      <c r="E163" s="13"/>
      <c r="F163" s="13"/>
      <c r="G163" s="24">
        <f t="shared" si="34"/>
        <v>2.2953333333333603</v>
      </c>
      <c r="AN163" s="13"/>
      <c r="AO163" s="13"/>
      <c r="AP163" s="24">
        <v>617.67774711894367</v>
      </c>
    </row>
    <row r="164" spans="1:42" x14ac:dyDescent="0.35">
      <c r="A164" s="48">
        <f t="shared" si="35"/>
        <v>162</v>
      </c>
      <c r="B164" s="13"/>
      <c r="C164" s="13">
        <f>IF(Assumptions!E$23="Default",'Emission factors'!E164,IF(Assumptions!E$23="FMA",'Emission factors'!F164,G164))</f>
        <v>0</v>
      </c>
      <c r="D164" s="13"/>
      <c r="E164" s="13"/>
      <c r="F164" s="13"/>
      <c r="G164" s="24">
        <f t="shared" si="34"/>
        <v>2.2953333333333603</v>
      </c>
      <c r="AN164" s="13"/>
      <c r="AO164" s="13"/>
      <c r="AP164" s="24">
        <v>619.97308045227703</v>
      </c>
    </row>
    <row r="165" spans="1:42" x14ac:dyDescent="0.35">
      <c r="A165" s="48">
        <f t="shared" si="35"/>
        <v>163</v>
      </c>
      <c r="B165" s="13"/>
      <c r="C165" s="13">
        <f>IF(Assumptions!E$23="Default",'Emission factors'!E165,IF(Assumptions!E$23="FMA",'Emission factors'!F165,G165))</f>
        <v>0</v>
      </c>
      <c r="D165" s="13"/>
      <c r="E165" s="13"/>
      <c r="F165" s="13"/>
      <c r="G165" s="24">
        <f t="shared" si="34"/>
        <v>2.2953333333333603</v>
      </c>
      <c r="AN165" s="13"/>
      <c r="AO165" s="13"/>
      <c r="AP165" s="24">
        <v>622.26841378561039</v>
      </c>
    </row>
    <row r="166" spans="1:42" x14ac:dyDescent="0.35">
      <c r="A166" s="48">
        <f t="shared" si="35"/>
        <v>164</v>
      </c>
      <c r="B166" s="13"/>
      <c r="C166" s="13">
        <f>IF(Assumptions!E$23="Default",'Emission factors'!E166,IF(Assumptions!E$23="FMA",'Emission factors'!F166,G166))</f>
        <v>0</v>
      </c>
      <c r="D166" s="13"/>
      <c r="E166" s="13"/>
      <c r="F166" s="13"/>
      <c r="G166" s="24">
        <f t="shared" si="34"/>
        <v>2.2953333333332466</v>
      </c>
      <c r="AN166" s="13"/>
      <c r="AO166" s="13"/>
      <c r="AP166" s="24">
        <v>624.56374711894375</v>
      </c>
    </row>
    <row r="167" spans="1:42" x14ac:dyDescent="0.35">
      <c r="A167" s="48">
        <f t="shared" si="35"/>
        <v>165</v>
      </c>
      <c r="B167" s="13"/>
      <c r="C167" s="13">
        <f>IF(Assumptions!E$23="Default",'Emission factors'!E167,IF(Assumptions!E$23="FMA",'Emission factors'!F167,G167))</f>
        <v>0</v>
      </c>
      <c r="D167" s="13"/>
      <c r="E167" s="13"/>
      <c r="F167" s="13"/>
      <c r="G167" s="24">
        <f t="shared" si="34"/>
        <v>2.295333333333474</v>
      </c>
      <c r="AN167" s="13"/>
      <c r="AO167" s="13"/>
      <c r="AP167" s="24">
        <v>626.859080452277</v>
      </c>
    </row>
    <row r="168" spans="1:42" x14ac:dyDescent="0.35">
      <c r="A168" s="48">
        <f t="shared" si="35"/>
        <v>166</v>
      </c>
      <c r="B168" s="13"/>
      <c r="C168" s="13">
        <f>IF(Assumptions!E$23="Default",'Emission factors'!E168,IF(Assumptions!E$23="FMA",'Emission factors'!F168,G168))</f>
        <v>0</v>
      </c>
      <c r="D168" s="13"/>
      <c r="E168" s="13"/>
      <c r="F168" s="13"/>
      <c r="G168" s="24">
        <f t="shared" si="34"/>
        <v>2.2953333333332466</v>
      </c>
      <c r="AN168" s="13"/>
      <c r="AO168" s="13"/>
      <c r="AP168" s="24">
        <v>629.15441378561047</v>
      </c>
    </row>
    <row r="169" spans="1:42" x14ac:dyDescent="0.35">
      <c r="A169" s="48">
        <f t="shared" si="35"/>
        <v>167</v>
      </c>
      <c r="B169" s="13"/>
      <c r="C169" s="13">
        <f>IF(Assumptions!E$23="Default",'Emission factors'!E169,IF(Assumptions!E$23="FMA",'Emission factors'!F169,G169))</f>
        <v>0</v>
      </c>
      <c r="D169" s="13"/>
      <c r="E169" s="13"/>
      <c r="F169" s="13"/>
      <c r="G169" s="24">
        <f t="shared" si="34"/>
        <v>2.295333333333474</v>
      </c>
      <c r="AN169" s="13"/>
      <c r="AO169" s="13"/>
      <c r="AP169" s="24">
        <v>631.44974711894372</v>
      </c>
    </row>
    <row r="170" spans="1:42" x14ac:dyDescent="0.35">
      <c r="A170" s="48">
        <f t="shared" si="35"/>
        <v>168</v>
      </c>
      <c r="B170" s="13"/>
      <c r="C170" s="13">
        <f>IF(Assumptions!E$23="Default",'Emission factors'!E170,IF(Assumptions!E$23="FMA",'Emission factors'!F170,G170))</f>
        <v>0</v>
      </c>
      <c r="D170" s="13"/>
      <c r="E170" s="13"/>
      <c r="F170" s="13"/>
      <c r="G170" s="24">
        <f t="shared" si="34"/>
        <v>2.2953333333332466</v>
      </c>
      <c r="AN170" s="13"/>
      <c r="AO170" s="13"/>
      <c r="AP170" s="24">
        <v>633.74508045227719</v>
      </c>
    </row>
    <row r="171" spans="1:42" x14ac:dyDescent="0.35">
      <c r="A171" s="48">
        <f t="shared" si="35"/>
        <v>169</v>
      </c>
      <c r="B171" s="13"/>
      <c r="C171" s="13">
        <f>IF(Assumptions!E$23="Default",'Emission factors'!E171,IF(Assumptions!E$23="FMA",'Emission factors'!F171,G171))</f>
        <v>0</v>
      </c>
      <c r="D171" s="13"/>
      <c r="E171" s="13"/>
      <c r="F171" s="13"/>
      <c r="G171" s="24">
        <f t="shared" si="34"/>
        <v>2.2953333333333603</v>
      </c>
      <c r="AN171" s="13"/>
      <c r="AO171" s="13"/>
      <c r="AP171" s="24">
        <v>636.04041378561044</v>
      </c>
    </row>
    <row r="172" spans="1:42" x14ac:dyDescent="0.35">
      <c r="A172" s="48">
        <f t="shared" si="35"/>
        <v>170</v>
      </c>
      <c r="B172" s="13"/>
      <c r="C172" s="13">
        <f>IF(Assumptions!E$23="Default",'Emission factors'!E172,IF(Assumptions!E$23="FMA",'Emission factors'!F172,G172))</f>
        <v>0</v>
      </c>
      <c r="D172" s="13"/>
      <c r="E172" s="13"/>
      <c r="F172" s="13"/>
      <c r="G172" s="24">
        <f t="shared" si="34"/>
        <v>2.2953333333333603</v>
      </c>
      <c r="AN172" s="13"/>
      <c r="AO172" s="13"/>
      <c r="AP172" s="24">
        <v>638.3357471189438</v>
      </c>
    </row>
    <row r="173" spans="1:42" x14ac:dyDescent="0.35">
      <c r="A173" s="48">
        <f t="shared" si="35"/>
        <v>171</v>
      </c>
      <c r="B173" s="13"/>
      <c r="C173" s="13">
        <f>IF(Assumptions!E$23="Default",'Emission factors'!E173,IF(Assumptions!E$23="FMA",'Emission factors'!F173,G173))</f>
        <v>0</v>
      </c>
      <c r="D173" s="13"/>
      <c r="E173" s="13"/>
      <c r="F173" s="13"/>
      <c r="G173" s="24">
        <f t="shared" si="34"/>
        <v>2.2953333333333603</v>
      </c>
      <c r="AN173" s="13"/>
      <c r="AO173" s="13"/>
      <c r="AP173" s="24">
        <v>640.63108045227716</v>
      </c>
    </row>
    <row r="174" spans="1:42" x14ac:dyDescent="0.35">
      <c r="A174" s="48">
        <f t="shared" si="35"/>
        <v>172</v>
      </c>
      <c r="B174" s="13"/>
      <c r="C174" s="13">
        <f>IF(Assumptions!E$23="Default",'Emission factors'!E174,IF(Assumptions!E$23="FMA",'Emission factors'!F174,G174))</f>
        <v>0</v>
      </c>
      <c r="D174" s="13"/>
      <c r="E174" s="13"/>
      <c r="F174" s="13"/>
      <c r="G174" s="24">
        <f t="shared" si="34"/>
        <v>2.2953333333333603</v>
      </c>
      <c r="AN174" s="13"/>
      <c r="AO174" s="13"/>
      <c r="AP174" s="24">
        <v>642.92641378561052</v>
      </c>
    </row>
    <row r="175" spans="1:42" x14ac:dyDescent="0.35">
      <c r="A175" s="48">
        <f t="shared" si="35"/>
        <v>173</v>
      </c>
      <c r="B175" s="13"/>
      <c r="C175" s="13">
        <f>IF(Assumptions!E$23="Default",'Emission factors'!E175,IF(Assumptions!E$23="FMA",'Emission factors'!F175,G175))</f>
        <v>0</v>
      </c>
      <c r="D175" s="13"/>
      <c r="E175" s="13"/>
      <c r="F175" s="13"/>
      <c r="G175" s="24">
        <f t="shared" si="34"/>
        <v>2.2953333333333603</v>
      </c>
      <c r="AN175" s="13"/>
      <c r="AO175" s="13"/>
      <c r="AP175" s="24">
        <v>645.22174711894388</v>
      </c>
    </row>
    <row r="176" spans="1:42" x14ac:dyDescent="0.35">
      <c r="A176" s="48">
        <f t="shared" si="35"/>
        <v>174</v>
      </c>
      <c r="B176" s="13"/>
      <c r="C176" s="13">
        <f>IF(Assumptions!E$23="Default",'Emission factors'!E176,IF(Assumptions!E$23="FMA",'Emission factors'!F176,G176))</f>
        <v>0</v>
      </c>
      <c r="D176" s="13"/>
      <c r="E176" s="13"/>
      <c r="F176" s="13"/>
      <c r="G176" s="24">
        <f t="shared" si="34"/>
        <v>2.2953333333333603</v>
      </c>
      <c r="AN176" s="13"/>
      <c r="AO176" s="13"/>
      <c r="AP176" s="24">
        <v>647.51708045227724</v>
      </c>
    </row>
    <row r="177" spans="1:42" x14ac:dyDescent="0.35">
      <c r="A177" s="48">
        <f t="shared" si="35"/>
        <v>175</v>
      </c>
      <c r="B177" s="13"/>
      <c r="C177" s="13">
        <f>IF(Assumptions!E$23="Default",'Emission factors'!E177,IF(Assumptions!E$23="FMA",'Emission factors'!F177,G177))</f>
        <v>0</v>
      </c>
      <c r="D177" s="13"/>
      <c r="E177" s="13"/>
      <c r="F177" s="13"/>
      <c r="G177" s="24">
        <f t="shared" si="34"/>
        <v>2.2953333333333603</v>
      </c>
      <c r="AN177" s="13"/>
      <c r="AO177" s="13"/>
      <c r="AP177" s="24">
        <v>649.8124137856106</v>
      </c>
    </row>
    <row r="178" spans="1:42" x14ac:dyDescent="0.35">
      <c r="A178" s="48">
        <f t="shared" si="35"/>
        <v>176</v>
      </c>
      <c r="B178" s="13"/>
      <c r="C178" s="13">
        <f>IF(Assumptions!E$23="Default",'Emission factors'!E178,IF(Assumptions!E$23="FMA",'Emission factors'!F178,G178))</f>
        <v>0</v>
      </c>
      <c r="D178" s="13"/>
      <c r="E178" s="13"/>
      <c r="F178" s="13"/>
      <c r="G178" s="24">
        <f t="shared" si="34"/>
        <v>2.2953333333333603</v>
      </c>
      <c r="AN178" s="13"/>
      <c r="AO178" s="13"/>
      <c r="AP178" s="24">
        <v>652.10774711894396</v>
      </c>
    </row>
    <row r="179" spans="1:42" x14ac:dyDescent="0.35">
      <c r="A179" s="48">
        <f t="shared" si="35"/>
        <v>177</v>
      </c>
      <c r="B179" s="13"/>
      <c r="C179" s="13">
        <f>IF(Assumptions!E$23="Default",'Emission factors'!E179,IF(Assumptions!E$23="FMA",'Emission factors'!F179,G179))</f>
        <v>0</v>
      </c>
      <c r="D179" s="13"/>
      <c r="E179" s="13"/>
      <c r="F179" s="13"/>
      <c r="G179" s="24">
        <f t="shared" si="34"/>
        <v>2.2953333333332466</v>
      </c>
      <c r="AN179" s="13"/>
      <c r="AO179" s="13"/>
      <c r="AP179" s="24">
        <v>654.40308045227732</v>
      </c>
    </row>
    <row r="180" spans="1:42" x14ac:dyDescent="0.35">
      <c r="A180" s="48">
        <f t="shared" si="35"/>
        <v>178</v>
      </c>
      <c r="B180" s="13"/>
      <c r="C180" s="13">
        <f>IF(Assumptions!E$23="Default",'Emission factors'!E180,IF(Assumptions!E$23="FMA",'Emission factors'!F180,G180))</f>
        <v>0</v>
      </c>
      <c r="D180" s="13"/>
      <c r="E180" s="13"/>
      <c r="F180" s="13"/>
      <c r="G180" s="24">
        <f t="shared" si="34"/>
        <v>2.295333333333474</v>
      </c>
      <c r="AN180" s="13"/>
      <c r="AO180" s="13"/>
      <c r="AP180" s="24">
        <v>656.69841378561057</v>
      </c>
    </row>
    <row r="181" spans="1:42" x14ac:dyDescent="0.35">
      <c r="A181" s="48">
        <f t="shared" si="35"/>
        <v>179</v>
      </c>
      <c r="B181" s="13"/>
      <c r="C181" s="13">
        <f>IF(Assumptions!E$23="Default",'Emission factors'!E181,IF(Assumptions!E$23="FMA",'Emission factors'!F181,G181))</f>
        <v>0</v>
      </c>
      <c r="D181" s="13"/>
      <c r="E181" s="13"/>
      <c r="F181" s="13"/>
      <c r="G181" s="24">
        <f t="shared" si="34"/>
        <v>2.2953333333332466</v>
      </c>
      <c r="AN181" s="13"/>
      <c r="AO181" s="13"/>
      <c r="AP181" s="24">
        <v>658.99374711894404</v>
      </c>
    </row>
    <row r="182" spans="1:42" x14ac:dyDescent="0.35">
      <c r="A182" s="48">
        <f t="shared" si="35"/>
        <v>180</v>
      </c>
      <c r="B182" s="13"/>
      <c r="C182" s="13">
        <f>IF(Assumptions!E$23="Default",'Emission factors'!E182,IF(Assumptions!E$23="FMA",'Emission factors'!F182,G182))</f>
        <v>0</v>
      </c>
      <c r="D182" s="13"/>
      <c r="E182" s="13"/>
      <c r="F182" s="13"/>
      <c r="G182" s="24">
        <f t="shared" si="34"/>
        <v>2.2953333333333603</v>
      </c>
      <c r="AN182" s="13"/>
      <c r="AO182" s="13"/>
      <c r="AP182" s="24">
        <v>661.28908045227729</v>
      </c>
    </row>
    <row r="183" spans="1:42" x14ac:dyDescent="0.35">
      <c r="A183" s="48">
        <f t="shared" si="35"/>
        <v>181</v>
      </c>
      <c r="B183" s="13"/>
      <c r="C183" s="13">
        <f>IF(Assumptions!E$23="Default",'Emission factors'!E183,IF(Assumptions!E$23="FMA",'Emission factors'!F183,G183))</f>
        <v>0</v>
      </c>
      <c r="D183" s="13"/>
      <c r="E183" s="13"/>
      <c r="F183" s="13"/>
      <c r="G183" s="24">
        <f t="shared" si="34"/>
        <v>2.2953333333333603</v>
      </c>
      <c r="AN183" s="13"/>
      <c r="AO183" s="13"/>
      <c r="AP183" s="24">
        <v>663.58441378561065</v>
      </c>
    </row>
    <row r="184" spans="1:42" x14ac:dyDescent="0.35">
      <c r="A184" s="48">
        <f t="shared" si="35"/>
        <v>182</v>
      </c>
      <c r="B184" s="13"/>
      <c r="C184" s="13">
        <f>IF(Assumptions!E$23="Default",'Emission factors'!E184,IF(Assumptions!E$23="FMA",'Emission factors'!F184,G184))</f>
        <v>0</v>
      </c>
      <c r="D184" s="13"/>
      <c r="E184" s="13"/>
      <c r="F184" s="13"/>
      <c r="G184" s="24">
        <f t="shared" si="34"/>
        <v>2.2953333333333603</v>
      </c>
      <c r="AN184" s="13"/>
      <c r="AO184" s="13"/>
      <c r="AP184" s="24">
        <v>665.87974711894401</v>
      </c>
    </row>
    <row r="185" spans="1:42" x14ac:dyDescent="0.35">
      <c r="A185" s="48">
        <f t="shared" si="35"/>
        <v>183</v>
      </c>
      <c r="B185" s="13"/>
      <c r="C185" s="13">
        <f>IF(Assumptions!E$23="Default",'Emission factors'!E185,IF(Assumptions!E$23="FMA",'Emission factors'!F185,G185))</f>
        <v>0</v>
      </c>
      <c r="D185" s="13"/>
      <c r="E185" s="13"/>
      <c r="F185" s="13"/>
      <c r="G185" s="24">
        <f t="shared" si="34"/>
        <v>2.2953333333333603</v>
      </c>
      <c r="AN185" s="13"/>
      <c r="AO185" s="13"/>
      <c r="AP185" s="24">
        <v>668.17508045227737</v>
      </c>
    </row>
    <row r="186" spans="1:42" x14ac:dyDescent="0.35">
      <c r="A186" s="48">
        <f t="shared" si="35"/>
        <v>184</v>
      </c>
      <c r="B186" s="13"/>
      <c r="C186" s="13">
        <f>IF(Assumptions!E$23="Default",'Emission factors'!E186,IF(Assumptions!E$23="FMA",'Emission factors'!F186,G186))</f>
        <v>0</v>
      </c>
      <c r="D186" s="13"/>
      <c r="E186" s="13"/>
      <c r="F186" s="13"/>
      <c r="G186" s="24">
        <f t="shared" si="34"/>
        <v>2.2953333333333603</v>
      </c>
      <c r="AN186" s="13"/>
      <c r="AO186" s="13"/>
      <c r="AP186" s="24">
        <v>670.47041378561073</v>
      </c>
    </row>
    <row r="187" spans="1:42" x14ac:dyDescent="0.35">
      <c r="A187" s="48">
        <f t="shared" si="35"/>
        <v>185</v>
      </c>
      <c r="B187" s="13"/>
      <c r="C187" s="13">
        <f>IF(Assumptions!E$23="Default",'Emission factors'!E187,IF(Assumptions!E$23="FMA",'Emission factors'!F187,G187))</f>
        <v>0</v>
      </c>
      <c r="D187" s="13"/>
      <c r="E187" s="13"/>
      <c r="F187" s="13"/>
      <c r="G187" s="24">
        <f t="shared" si="34"/>
        <v>2.2953333333333603</v>
      </c>
      <c r="AN187" s="13"/>
      <c r="AO187" s="13"/>
      <c r="AP187" s="24">
        <v>672.76574711894409</v>
      </c>
    </row>
    <row r="188" spans="1:42" x14ac:dyDescent="0.35">
      <c r="A188" s="48">
        <f t="shared" si="35"/>
        <v>186</v>
      </c>
      <c r="B188" s="13"/>
      <c r="C188" s="13">
        <f>IF(Assumptions!E$23="Default",'Emission factors'!E188,IF(Assumptions!E$23="FMA",'Emission factors'!F188,G188))</f>
        <v>0</v>
      </c>
      <c r="D188" s="13"/>
      <c r="E188" s="13"/>
      <c r="F188" s="13"/>
      <c r="G188" s="24">
        <f t="shared" si="34"/>
        <v>2.2953333333333603</v>
      </c>
      <c r="AN188" s="13"/>
      <c r="AO188" s="13"/>
      <c r="AP188" s="24">
        <v>675.06108045227745</v>
      </c>
    </row>
    <row r="189" spans="1:42" x14ac:dyDescent="0.35">
      <c r="A189" s="48">
        <f t="shared" si="35"/>
        <v>187</v>
      </c>
      <c r="B189" s="13"/>
      <c r="C189" s="13">
        <f>IF(Assumptions!E$23="Default",'Emission factors'!E189,IF(Assumptions!E$23="FMA",'Emission factors'!F189,G189))</f>
        <v>0</v>
      </c>
      <c r="D189" s="13"/>
      <c r="E189" s="13"/>
      <c r="F189" s="13"/>
      <c r="G189" s="24">
        <f t="shared" si="34"/>
        <v>2.2953333333333603</v>
      </c>
      <c r="AN189" s="13"/>
      <c r="AO189" s="13"/>
      <c r="AP189" s="24">
        <v>677.35641378561081</v>
      </c>
    </row>
    <row r="190" spans="1:42" x14ac:dyDescent="0.35">
      <c r="A190" s="48">
        <f t="shared" si="35"/>
        <v>188</v>
      </c>
      <c r="B190" s="13"/>
      <c r="C190" s="13">
        <f>IF(Assumptions!E$23="Default",'Emission factors'!E190,IF(Assumptions!E$23="FMA",'Emission factors'!F190,G190))</f>
        <v>0</v>
      </c>
      <c r="D190" s="13"/>
      <c r="E190" s="13"/>
      <c r="F190" s="13"/>
      <c r="G190" s="24">
        <f t="shared" si="34"/>
        <v>2.2953333333333603</v>
      </c>
      <c r="AN190" s="13"/>
      <c r="AO190" s="13"/>
      <c r="AP190" s="24">
        <v>679.65174711894417</v>
      </c>
    </row>
    <row r="191" spans="1:42" x14ac:dyDescent="0.35">
      <c r="A191" s="48">
        <f t="shared" si="35"/>
        <v>189</v>
      </c>
      <c r="B191" s="13"/>
      <c r="C191" s="13">
        <f>IF(Assumptions!E$23="Default",'Emission factors'!E191,IF(Assumptions!E$23="FMA",'Emission factors'!F191,G191))</f>
        <v>0</v>
      </c>
      <c r="D191" s="13"/>
      <c r="E191" s="13"/>
      <c r="F191" s="13"/>
      <c r="G191" s="24">
        <f t="shared" si="34"/>
        <v>2.2953333333333603</v>
      </c>
      <c r="AN191" s="13"/>
      <c r="AO191" s="13"/>
      <c r="AP191" s="24">
        <v>681.94708045227753</v>
      </c>
    </row>
    <row r="192" spans="1:42" x14ac:dyDescent="0.35">
      <c r="A192" s="48">
        <f t="shared" si="35"/>
        <v>190</v>
      </c>
      <c r="B192" s="13"/>
      <c r="C192" s="13">
        <f>IF(Assumptions!E$23="Default",'Emission factors'!E192,IF(Assumptions!E$23="FMA",'Emission factors'!F192,G192))</f>
        <v>0</v>
      </c>
      <c r="D192" s="13"/>
      <c r="E192" s="13"/>
      <c r="F192" s="13"/>
      <c r="G192" s="24">
        <f t="shared" si="34"/>
        <v>2.2953333333332466</v>
      </c>
      <c r="AN192" s="13"/>
      <c r="AO192" s="13"/>
      <c r="AP192" s="24">
        <v>684.24241378561089</v>
      </c>
    </row>
    <row r="193" spans="1:42" x14ac:dyDescent="0.35">
      <c r="A193" s="48">
        <f t="shared" si="35"/>
        <v>191</v>
      </c>
      <c r="B193" s="13"/>
      <c r="C193" s="13">
        <f>IF(Assumptions!E$23="Default",'Emission factors'!E193,IF(Assumptions!E$23="FMA",'Emission factors'!F193,G193))</f>
        <v>0</v>
      </c>
      <c r="D193" s="13"/>
      <c r="E193" s="13"/>
      <c r="F193" s="13"/>
      <c r="G193" s="24">
        <f t="shared" si="34"/>
        <v>2.2953333333333603</v>
      </c>
      <c r="AN193" s="13"/>
      <c r="AO193" s="13"/>
      <c r="AP193" s="24">
        <v>686.53774711894414</v>
      </c>
    </row>
    <row r="194" spans="1:42" x14ac:dyDescent="0.35">
      <c r="A194" s="48">
        <f t="shared" si="35"/>
        <v>192</v>
      </c>
      <c r="B194" s="13"/>
      <c r="C194" s="13">
        <f>IF(Assumptions!E$23="Default",'Emission factors'!E194,IF(Assumptions!E$23="FMA",'Emission factors'!F194,G194))</f>
        <v>0</v>
      </c>
      <c r="D194" s="13"/>
      <c r="E194" s="13"/>
      <c r="F194" s="13"/>
      <c r="G194" s="24">
        <f t="shared" si="34"/>
        <v>2.295333333333474</v>
      </c>
      <c r="AN194" s="13"/>
      <c r="AO194" s="13"/>
      <c r="AP194" s="24">
        <v>688.8330804522775</v>
      </c>
    </row>
    <row r="195" spans="1:42" x14ac:dyDescent="0.35">
      <c r="A195" s="48">
        <f t="shared" si="35"/>
        <v>193</v>
      </c>
      <c r="B195" s="13"/>
      <c r="C195" s="13">
        <f>IF(Assumptions!E$23="Default",'Emission factors'!E195,IF(Assumptions!E$23="FMA",'Emission factors'!F195,G195))</f>
        <v>0</v>
      </c>
      <c r="D195" s="13"/>
      <c r="E195" s="13"/>
      <c r="F195" s="13"/>
      <c r="G195" s="24">
        <f t="shared" si="34"/>
        <v>2.2953333333333603</v>
      </c>
      <c r="AN195" s="13"/>
      <c r="AO195" s="13"/>
      <c r="AP195" s="24">
        <v>691.12841378561097</v>
      </c>
    </row>
    <row r="196" spans="1:42" x14ac:dyDescent="0.35">
      <c r="A196" s="48">
        <f t="shared" si="35"/>
        <v>194</v>
      </c>
      <c r="B196" s="13"/>
      <c r="C196" s="13">
        <f>IF(Assumptions!E$23="Default",'Emission factors'!E196,IF(Assumptions!E$23="FMA",'Emission factors'!F196,G196))</f>
        <v>0</v>
      </c>
      <c r="D196" s="13"/>
      <c r="E196" s="13"/>
      <c r="F196" s="13"/>
      <c r="G196" s="24">
        <f t="shared" ref="G196:G259" si="36">AP197-AP196</f>
        <v>2.2953333333332466</v>
      </c>
      <c r="AN196" s="13"/>
      <c r="AO196" s="13"/>
      <c r="AP196" s="24">
        <v>693.42374711894433</v>
      </c>
    </row>
    <row r="197" spans="1:42" x14ac:dyDescent="0.35">
      <c r="A197" s="48">
        <f t="shared" ref="A197:A260" si="37">A196+1</f>
        <v>195</v>
      </c>
      <c r="B197" s="13"/>
      <c r="C197" s="13">
        <f>IF(Assumptions!E$23="Default",'Emission factors'!E197,IF(Assumptions!E$23="FMA",'Emission factors'!F197,G197))</f>
        <v>0</v>
      </c>
      <c r="D197" s="13"/>
      <c r="E197" s="13"/>
      <c r="F197" s="13"/>
      <c r="G197" s="24">
        <f t="shared" si="36"/>
        <v>2.2953333333333603</v>
      </c>
      <c r="AN197" s="13"/>
      <c r="AO197" s="13"/>
      <c r="AP197" s="24">
        <v>695.71908045227758</v>
      </c>
    </row>
    <row r="198" spans="1:42" x14ac:dyDescent="0.35">
      <c r="A198" s="48">
        <f t="shared" si="37"/>
        <v>196</v>
      </c>
      <c r="B198" s="13"/>
      <c r="C198" s="13">
        <f>IF(Assumptions!E$23="Default",'Emission factors'!E198,IF(Assumptions!E$23="FMA",'Emission factors'!F198,G198))</f>
        <v>0</v>
      </c>
      <c r="D198" s="13"/>
      <c r="E198" s="13"/>
      <c r="F198" s="13"/>
      <c r="G198" s="24">
        <f t="shared" si="36"/>
        <v>2.2953333333333603</v>
      </c>
      <c r="AN198" s="13"/>
      <c r="AO198" s="13"/>
      <c r="AP198" s="24">
        <v>698.01441378561094</v>
      </c>
    </row>
    <row r="199" spans="1:42" x14ac:dyDescent="0.35">
      <c r="A199" s="48">
        <f t="shared" si="37"/>
        <v>197</v>
      </c>
      <c r="B199" s="13"/>
      <c r="C199" s="13">
        <f>IF(Assumptions!E$23="Default",'Emission factors'!E199,IF(Assumptions!E$23="FMA",'Emission factors'!F199,G199))</f>
        <v>0</v>
      </c>
      <c r="D199" s="13"/>
      <c r="E199" s="13"/>
      <c r="F199" s="13"/>
      <c r="G199" s="24">
        <f t="shared" si="36"/>
        <v>2.2953333333332466</v>
      </c>
      <c r="AN199" s="13"/>
      <c r="AO199" s="13"/>
      <c r="AP199" s="24">
        <v>700.3097471189443</v>
      </c>
    </row>
    <row r="200" spans="1:42" x14ac:dyDescent="0.35">
      <c r="A200" s="48">
        <f t="shared" si="37"/>
        <v>198</v>
      </c>
      <c r="B200" s="13"/>
      <c r="C200" s="13">
        <f>IF(Assumptions!E$23="Default",'Emission factors'!E200,IF(Assumptions!E$23="FMA",'Emission factors'!F200,G200))</f>
        <v>0</v>
      </c>
      <c r="D200" s="13"/>
      <c r="E200" s="13"/>
      <c r="F200" s="13"/>
      <c r="G200" s="24">
        <f t="shared" si="36"/>
        <v>2.295333333333474</v>
      </c>
      <c r="AN200" s="13"/>
      <c r="AO200" s="13"/>
      <c r="AP200" s="24">
        <v>702.60508045227755</v>
      </c>
    </row>
    <row r="201" spans="1:42" x14ac:dyDescent="0.35">
      <c r="A201" s="48">
        <f t="shared" si="37"/>
        <v>199</v>
      </c>
      <c r="B201" s="13"/>
      <c r="C201" s="13">
        <f>IF(Assumptions!E$23="Default",'Emission factors'!E201,IF(Assumptions!E$23="FMA",'Emission factors'!F201,G201))</f>
        <v>0</v>
      </c>
      <c r="D201" s="13"/>
      <c r="E201" s="13"/>
      <c r="F201" s="13"/>
      <c r="G201" s="24">
        <f t="shared" si="36"/>
        <v>2.2953333333333603</v>
      </c>
      <c r="AN201" s="13"/>
      <c r="AO201" s="13"/>
      <c r="AP201" s="24">
        <v>704.90041378561102</v>
      </c>
    </row>
    <row r="202" spans="1:42" x14ac:dyDescent="0.35">
      <c r="A202" s="48">
        <f t="shared" si="37"/>
        <v>200</v>
      </c>
      <c r="B202" s="13"/>
      <c r="C202" s="13">
        <f>IF(Assumptions!E$23="Default",'Emission factors'!E202,IF(Assumptions!E$23="FMA",'Emission factors'!F202,G202))</f>
        <v>0</v>
      </c>
      <c r="D202" s="13"/>
      <c r="E202" s="13"/>
      <c r="F202" s="13"/>
      <c r="G202" s="24">
        <f t="shared" si="36"/>
        <v>2.2953333333333603</v>
      </c>
      <c r="AN202" s="13"/>
      <c r="AO202" s="13"/>
      <c r="AP202" s="24">
        <v>707.19574711894438</v>
      </c>
    </row>
    <row r="203" spans="1:42" x14ac:dyDescent="0.35">
      <c r="A203" s="48">
        <f t="shared" si="37"/>
        <v>201</v>
      </c>
      <c r="B203" s="13"/>
      <c r="C203" s="13">
        <f>IF(Assumptions!E$23="Default",'Emission factors'!E203,IF(Assumptions!E$23="FMA",'Emission factors'!F203,G203))</f>
        <v>0</v>
      </c>
      <c r="D203" s="13"/>
      <c r="E203" s="13"/>
      <c r="F203" s="13"/>
      <c r="G203" s="24">
        <f t="shared" si="36"/>
        <v>2.2953333333332466</v>
      </c>
      <c r="AN203" s="13"/>
      <c r="AO203" s="13"/>
      <c r="AP203" s="24">
        <v>709.49108045227774</v>
      </c>
    </row>
    <row r="204" spans="1:42" x14ac:dyDescent="0.35">
      <c r="A204" s="48">
        <f t="shared" si="37"/>
        <v>202</v>
      </c>
      <c r="B204" s="13"/>
      <c r="C204" s="13">
        <f>IF(Assumptions!E$23="Default",'Emission factors'!E204,IF(Assumptions!E$23="FMA",'Emission factors'!F204,G204))</f>
        <v>0</v>
      </c>
      <c r="D204" s="13"/>
      <c r="E204" s="13"/>
      <c r="F204" s="13"/>
      <c r="G204" s="24">
        <f t="shared" si="36"/>
        <v>2.2953333333333603</v>
      </c>
      <c r="AN204" s="13"/>
      <c r="AO204" s="13"/>
      <c r="AP204" s="24">
        <v>711.78641378561099</v>
      </c>
    </row>
    <row r="205" spans="1:42" x14ac:dyDescent="0.35">
      <c r="A205" s="48">
        <f t="shared" si="37"/>
        <v>203</v>
      </c>
      <c r="B205" s="13"/>
      <c r="C205" s="13">
        <f>IF(Assumptions!E$23="Default",'Emission factors'!E205,IF(Assumptions!E$23="FMA",'Emission factors'!F205,G205))</f>
        <v>0</v>
      </c>
      <c r="D205" s="13"/>
      <c r="E205" s="13"/>
      <c r="F205" s="13"/>
      <c r="G205" s="24">
        <f t="shared" si="36"/>
        <v>2.295333333333474</v>
      </c>
      <c r="AN205" s="13"/>
      <c r="AO205" s="13"/>
      <c r="AP205" s="24">
        <v>714.08174711894435</v>
      </c>
    </row>
    <row r="206" spans="1:42" x14ac:dyDescent="0.35">
      <c r="A206" s="48">
        <f t="shared" si="37"/>
        <v>204</v>
      </c>
      <c r="B206" s="13"/>
      <c r="C206" s="13">
        <f>IF(Assumptions!E$23="Default",'Emission factors'!E206,IF(Assumptions!E$23="FMA",'Emission factors'!F206,G206))</f>
        <v>0</v>
      </c>
      <c r="D206" s="13"/>
      <c r="E206" s="13"/>
      <c r="F206" s="13"/>
      <c r="G206" s="24">
        <f t="shared" si="36"/>
        <v>2.2953333333333603</v>
      </c>
      <c r="AN206" s="13"/>
      <c r="AO206" s="13"/>
      <c r="AP206" s="24">
        <v>716.37708045227782</v>
      </c>
    </row>
    <row r="207" spans="1:42" x14ac:dyDescent="0.35">
      <c r="A207" s="48">
        <f t="shared" si="37"/>
        <v>205</v>
      </c>
      <c r="B207" s="13"/>
      <c r="C207" s="13">
        <f>IF(Assumptions!E$23="Default",'Emission factors'!E207,IF(Assumptions!E$23="FMA",'Emission factors'!F207,G207))</f>
        <v>0</v>
      </c>
      <c r="D207" s="13"/>
      <c r="E207" s="13"/>
      <c r="F207" s="13"/>
      <c r="G207" s="24">
        <f t="shared" si="36"/>
        <v>2.2953333333332466</v>
      </c>
      <c r="AN207" s="13"/>
      <c r="AO207" s="13"/>
      <c r="AP207" s="24">
        <v>718.67241378561118</v>
      </c>
    </row>
    <row r="208" spans="1:42" x14ac:dyDescent="0.35">
      <c r="A208" s="48">
        <f t="shared" si="37"/>
        <v>206</v>
      </c>
      <c r="B208" s="13"/>
      <c r="C208" s="13">
        <f>IF(Assumptions!E$23="Default",'Emission factors'!E208,IF(Assumptions!E$23="FMA",'Emission factors'!F208,G208))</f>
        <v>0</v>
      </c>
      <c r="D208" s="13"/>
      <c r="E208" s="13"/>
      <c r="F208" s="13"/>
      <c r="G208" s="24">
        <f t="shared" si="36"/>
        <v>2.2953333333333603</v>
      </c>
      <c r="AN208" s="13"/>
      <c r="AO208" s="13"/>
      <c r="AP208" s="24">
        <v>720.96774711894443</v>
      </c>
    </row>
    <row r="209" spans="1:42" x14ac:dyDescent="0.35">
      <c r="A209" s="48">
        <f t="shared" si="37"/>
        <v>207</v>
      </c>
      <c r="B209" s="13"/>
      <c r="C209" s="13">
        <f>IF(Assumptions!E$23="Default",'Emission factors'!E209,IF(Assumptions!E$23="FMA",'Emission factors'!F209,G209))</f>
        <v>0</v>
      </c>
      <c r="D209" s="13"/>
      <c r="E209" s="13"/>
      <c r="F209" s="13"/>
      <c r="G209" s="24">
        <f t="shared" si="36"/>
        <v>2.2953333333333603</v>
      </c>
      <c r="AN209" s="13"/>
      <c r="AO209" s="13"/>
      <c r="AP209" s="24">
        <v>723.26308045227779</v>
      </c>
    </row>
    <row r="210" spans="1:42" x14ac:dyDescent="0.35">
      <c r="A210" s="48">
        <f t="shared" si="37"/>
        <v>208</v>
      </c>
      <c r="B210" s="13"/>
      <c r="C210" s="13">
        <f>IF(Assumptions!E$23="Default",'Emission factors'!E210,IF(Assumptions!E$23="FMA",'Emission factors'!F210,G210))</f>
        <v>0</v>
      </c>
      <c r="D210" s="13"/>
      <c r="E210" s="13"/>
      <c r="F210" s="13"/>
      <c r="G210" s="24">
        <f t="shared" si="36"/>
        <v>2.2953333333332466</v>
      </c>
      <c r="AN210" s="13"/>
      <c r="AO210" s="13"/>
      <c r="AP210" s="24">
        <v>725.55841378561115</v>
      </c>
    </row>
    <row r="211" spans="1:42" x14ac:dyDescent="0.35">
      <c r="A211" s="48">
        <f t="shared" si="37"/>
        <v>209</v>
      </c>
      <c r="B211" s="13"/>
      <c r="C211" s="13">
        <f>IF(Assumptions!E$23="Default",'Emission factors'!E211,IF(Assumptions!E$23="FMA",'Emission factors'!F211,G211))</f>
        <v>0</v>
      </c>
      <c r="D211" s="13"/>
      <c r="E211" s="13"/>
      <c r="F211" s="13"/>
      <c r="G211" s="24">
        <f t="shared" si="36"/>
        <v>2.295333333333474</v>
      </c>
      <c r="AN211" s="13"/>
      <c r="AO211" s="13"/>
      <c r="AP211" s="24">
        <v>727.8537471189444</v>
      </c>
    </row>
    <row r="212" spans="1:42" x14ac:dyDescent="0.35">
      <c r="A212" s="48">
        <f t="shared" si="37"/>
        <v>210</v>
      </c>
      <c r="B212" s="13"/>
      <c r="C212" s="13">
        <f>IF(Assumptions!E$23="Default",'Emission factors'!E212,IF(Assumptions!E$23="FMA",'Emission factors'!F212,G212))</f>
        <v>0</v>
      </c>
      <c r="D212" s="13"/>
      <c r="E212" s="13"/>
      <c r="F212" s="13"/>
      <c r="G212" s="24">
        <f t="shared" si="36"/>
        <v>2.2953333333333603</v>
      </c>
      <c r="AN212" s="13"/>
      <c r="AO212" s="13"/>
      <c r="AP212" s="24">
        <v>730.14908045227787</v>
      </c>
    </row>
    <row r="213" spans="1:42" x14ac:dyDescent="0.35">
      <c r="A213" s="48">
        <f t="shared" si="37"/>
        <v>211</v>
      </c>
      <c r="B213" s="13"/>
      <c r="C213" s="13">
        <f>IF(Assumptions!E$23="Default",'Emission factors'!E213,IF(Assumptions!E$23="FMA",'Emission factors'!F213,G213))</f>
        <v>0</v>
      </c>
      <c r="D213" s="13"/>
      <c r="E213" s="13"/>
      <c r="F213" s="13"/>
      <c r="G213" s="24">
        <f t="shared" si="36"/>
        <v>2.2953333333333603</v>
      </c>
      <c r="AN213" s="13"/>
      <c r="AO213" s="13"/>
      <c r="AP213" s="24">
        <v>732.44441378561123</v>
      </c>
    </row>
    <row r="214" spans="1:42" x14ac:dyDescent="0.35">
      <c r="A214" s="48">
        <f t="shared" si="37"/>
        <v>212</v>
      </c>
      <c r="B214" s="13"/>
      <c r="C214" s="13">
        <f>IF(Assumptions!E$23="Default",'Emission factors'!E214,IF(Assumptions!E$23="FMA",'Emission factors'!F214,G214))</f>
        <v>0</v>
      </c>
      <c r="D214" s="13"/>
      <c r="E214" s="13"/>
      <c r="F214" s="13"/>
      <c r="G214" s="24">
        <f t="shared" si="36"/>
        <v>2.2953333333332466</v>
      </c>
      <c r="AN214" s="13"/>
      <c r="AO214" s="13"/>
      <c r="AP214" s="24">
        <v>734.73974711894459</v>
      </c>
    </row>
    <row r="215" spans="1:42" x14ac:dyDescent="0.35">
      <c r="A215" s="48">
        <f t="shared" si="37"/>
        <v>213</v>
      </c>
      <c r="B215" s="13"/>
      <c r="C215" s="13">
        <f>IF(Assumptions!E$23="Default",'Emission factors'!E215,IF(Assumptions!E$23="FMA",'Emission factors'!F215,G215))</f>
        <v>0</v>
      </c>
      <c r="D215" s="13"/>
      <c r="E215" s="13"/>
      <c r="F215" s="13"/>
      <c r="G215" s="24">
        <f t="shared" si="36"/>
        <v>2.2953333333333603</v>
      </c>
      <c r="AN215" s="13"/>
      <c r="AO215" s="13"/>
      <c r="AP215" s="24">
        <v>737.03508045227784</v>
      </c>
    </row>
    <row r="216" spans="1:42" x14ac:dyDescent="0.35">
      <c r="A216" s="48">
        <f t="shared" si="37"/>
        <v>214</v>
      </c>
      <c r="B216" s="13"/>
      <c r="C216" s="13">
        <f>IF(Assumptions!E$23="Default",'Emission factors'!E216,IF(Assumptions!E$23="FMA",'Emission factors'!F216,G216))</f>
        <v>0</v>
      </c>
      <c r="D216" s="13"/>
      <c r="E216" s="13"/>
      <c r="F216" s="13"/>
      <c r="G216" s="24">
        <f t="shared" si="36"/>
        <v>2.295333333333474</v>
      </c>
      <c r="AN216" s="13"/>
      <c r="AO216" s="13"/>
      <c r="AP216" s="24">
        <v>739.3304137856112</v>
      </c>
    </row>
    <row r="217" spans="1:42" x14ac:dyDescent="0.35">
      <c r="A217" s="48">
        <f t="shared" si="37"/>
        <v>215</v>
      </c>
      <c r="B217" s="13"/>
      <c r="C217" s="13">
        <f>IF(Assumptions!E$23="Default",'Emission factors'!E217,IF(Assumptions!E$23="FMA",'Emission factors'!F217,G217))</f>
        <v>0</v>
      </c>
      <c r="D217" s="13"/>
      <c r="E217" s="13"/>
      <c r="F217" s="13"/>
      <c r="G217" s="24">
        <f t="shared" si="36"/>
        <v>2.2953333333333603</v>
      </c>
      <c r="AN217" s="13"/>
      <c r="AO217" s="13"/>
      <c r="AP217" s="24">
        <v>741.62574711894467</v>
      </c>
    </row>
    <row r="218" spans="1:42" x14ac:dyDescent="0.35">
      <c r="A218" s="48">
        <f t="shared" si="37"/>
        <v>216</v>
      </c>
      <c r="B218" s="13"/>
      <c r="C218" s="13">
        <f>IF(Assumptions!E$23="Default",'Emission factors'!E218,IF(Assumptions!E$23="FMA",'Emission factors'!F218,G218))</f>
        <v>0</v>
      </c>
      <c r="D218" s="13"/>
      <c r="E218" s="13"/>
      <c r="F218" s="13"/>
      <c r="G218" s="24">
        <f t="shared" si="36"/>
        <v>2.2953333333332466</v>
      </c>
      <c r="AN218" s="13"/>
      <c r="AO218" s="13"/>
      <c r="AP218" s="24">
        <v>743.92108045227803</v>
      </c>
    </row>
    <row r="219" spans="1:42" x14ac:dyDescent="0.35">
      <c r="A219" s="48">
        <f t="shared" si="37"/>
        <v>217</v>
      </c>
      <c r="B219" s="13"/>
      <c r="C219" s="13">
        <f>IF(Assumptions!E$23="Default",'Emission factors'!E219,IF(Assumptions!E$23="FMA",'Emission factors'!F219,G219))</f>
        <v>0</v>
      </c>
      <c r="D219" s="13"/>
      <c r="E219" s="13"/>
      <c r="F219" s="13"/>
      <c r="G219" s="24">
        <f t="shared" si="36"/>
        <v>2.2953333333333603</v>
      </c>
      <c r="AN219" s="13"/>
      <c r="AO219" s="13"/>
      <c r="AP219" s="24">
        <v>746.21641378561128</v>
      </c>
    </row>
    <row r="220" spans="1:42" x14ac:dyDescent="0.35">
      <c r="A220" s="48">
        <f t="shared" si="37"/>
        <v>218</v>
      </c>
      <c r="B220" s="13"/>
      <c r="C220" s="13">
        <f>IF(Assumptions!E$23="Default",'Emission factors'!E220,IF(Assumptions!E$23="FMA",'Emission factors'!F220,G220))</f>
        <v>0</v>
      </c>
      <c r="D220" s="13"/>
      <c r="E220" s="13"/>
      <c r="F220" s="13"/>
      <c r="G220" s="24">
        <f t="shared" si="36"/>
        <v>2.2953333333333603</v>
      </c>
      <c r="AN220" s="13"/>
      <c r="AO220" s="13"/>
      <c r="AP220" s="24">
        <v>748.51174711894464</v>
      </c>
    </row>
    <row r="221" spans="1:42" x14ac:dyDescent="0.35">
      <c r="A221" s="48">
        <f t="shared" si="37"/>
        <v>219</v>
      </c>
      <c r="B221" s="13"/>
      <c r="C221" s="13">
        <f>IF(Assumptions!E$23="Default",'Emission factors'!E221,IF(Assumptions!E$23="FMA",'Emission factors'!F221,G221))</f>
        <v>0</v>
      </c>
      <c r="D221" s="13"/>
      <c r="E221" s="13"/>
      <c r="F221" s="13"/>
      <c r="G221" s="24">
        <f t="shared" si="36"/>
        <v>2.295333333333474</v>
      </c>
      <c r="AN221" s="13"/>
      <c r="AO221" s="13"/>
      <c r="AP221" s="24">
        <v>750.807080452278</v>
      </c>
    </row>
    <row r="222" spans="1:42" x14ac:dyDescent="0.35">
      <c r="A222" s="48">
        <f t="shared" si="37"/>
        <v>220</v>
      </c>
      <c r="B222" s="13"/>
      <c r="C222" s="13">
        <f>IF(Assumptions!E$23="Default",'Emission factors'!E222,IF(Assumptions!E$23="FMA",'Emission factors'!F222,G222))</f>
        <v>0</v>
      </c>
      <c r="D222" s="13"/>
      <c r="E222" s="13"/>
      <c r="F222" s="13"/>
      <c r="G222" s="24">
        <f t="shared" si="36"/>
        <v>2.2953333333332466</v>
      </c>
      <c r="AN222" s="13"/>
      <c r="AO222" s="13"/>
      <c r="AP222" s="24">
        <v>753.10241378561147</v>
      </c>
    </row>
    <row r="223" spans="1:42" x14ac:dyDescent="0.35">
      <c r="A223" s="48">
        <f t="shared" si="37"/>
        <v>221</v>
      </c>
      <c r="B223" s="13"/>
      <c r="C223" s="13">
        <f>IF(Assumptions!E$23="Default",'Emission factors'!E223,IF(Assumptions!E$23="FMA",'Emission factors'!F223,G223))</f>
        <v>0</v>
      </c>
      <c r="D223" s="13"/>
      <c r="E223" s="13"/>
      <c r="F223" s="13"/>
      <c r="G223" s="24">
        <f t="shared" si="36"/>
        <v>2.2953333333333603</v>
      </c>
      <c r="AN223" s="13"/>
      <c r="AO223" s="13"/>
      <c r="AP223" s="24">
        <v>755.39774711894472</v>
      </c>
    </row>
    <row r="224" spans="1:42" x14ac:dyDescent="0.35">
      <c r="A224" s="48">
        <f t="shared" si="37"/>
        <v>222</v>
      </c>
      <c r="B224" s="13"/>
      <c r="C224" s="13">
        <f>IF(Assumptions!E$23="Default",'Emission factors'!E224,IF(Assumptions!E$23="FMA",'Emission factors'!F224,G224))</f>
        <v>0</v>
      </c>
      <c r="D224" s="13"/>
      <c r="E224" s="13"/>
      <c r="F224" s="13"/>
      <c r="G224" s="24">
        <f t="shared" si="36"/>
        <v>2.2953333333333603</v>
      </c>
      <c r="AN224" s="13"/>
      <c r="AO224" s="13"/>
      <c r="AP224" s="24">
        <v>757.69308045227808</v>
      </c>
    </row>
    <row r="225" spans="1:42" x14ac:dyDescent="0.35">
      <c r="A225" s="48">
        <f t="shared" si="37"/>
        <v>223</v>
      </c>
      <c r="B225" s="13"/>
      <c r="C225" s="13">
        <f>IF(Assumptions!E$23="Default",'Emission factors'!E225,IF(Assumptions!E$23="FMA",'Emission factors'!F225,G225))</f>
        <v>0</v>
      </c>
      <c r="D225" s="13"/>
      <c r="E225" s="13"/>
      <c r="F225" s="13"/>
      <c r="G225" s="24">
        <f t="shared" si="36"/>
        <v>2.2953333333332466</v>
      </c>
      <c r="AN225" s="13"/>
      <c r="AO225" s="13"/>
      <c r="AP225" s="24">
        <v>759.98841378561144</v>
      </c>
    </row>
    <row r="226" spans="1:42" x14ac:dyDescent="0.35">
      <c r="A226" s="48">
        <f t="shared" si="37"/>
        <v>224</v>
      </c>
      <c r="B226" s="13"/>
      <c r="C226" s="13">
        <f>IF(Assumptions!E$23="Default",'Emission factors'!E226,IF(Assumptions!E$23="FMA",'Emission factors'!F226,G226))</f>
        <v>0</v>
      </c>
      <c r="D226" s="13"/>
      <c r="E226" s="13"/>
      <c r="F226" s="13"/>
      <c r="G226" s="24">
        <f t="shared" si="36"/>
        <v>2.295333333333474</v>
      </c>
      <c r="AN226" s="13"/>
      <c r="AO226" s="13"/>
      <c r="AP226" s="24">
        <v>762.28374711894469</v>
      </c>
    </row>
    <row r="227" spans="1:42" x14ac:dyDescent="0.35">
      <c r="A227" s="48">
        <f t="shared" si="37"/>
        <v>225</v>
      </c>
      <c r="B227" s="13"/>
      <c r="C227" s="13">
        <f>IF(Assumptions!E$23="Default",'Emission factors'!E227,IF(Assumptions!E$23="FMA",'Emission factors'!F227,G227))</f>
        <v>0</v>
      </c>
      <c r="D227" s="13"/>
      <c r="E227" s="13"/>
      <c r="F227" s="13"/>
      <c r="G227" s="24">
        <f t="shared" si="36"/>
        <v>2.2953333333333603</v>
      </c>
      <c r="AN227" s="13"/>
      <c r="AO227" s="13"/>
      <c r="AP227" s="24">
        <v>764.57908045227816</v>
      </c>
    </row>
    <row r="228" spans="1:42" x14ac:dyDescent="0.35">
      <c r="A228" s="48">
        <f t="shared" si="37"/>
        <v>226</v>
      </c>
      <c r="B228" s="13"/>
      <c r="C228" s="13">
        <f>IF(Assumptions!E$23="Default",'Emission factors'!E228,IF(Assumptions!E$23="FMA",'Emission factors'!F228,G228))</f>
        <v>0</v>
      </c>
      <c r="D228" s="13"/>
      <c r="E228" s="13"/>
      <c r="F228" s="13"/>
      <c r="G228" s="24">
        <f t="shared" si="36"/>
        <v>2.2953333333333603</v>
      </c>
      <c r="AN228" s="13"/>
      <c r="AO228" s="13"/>
      <c r="AP228" s="24">
        <v>766.87441378561152</v>
      </c>
    </row>
    <row r="229" spans="1:42" x14ac:dyDescent="0.35">
      <c r="A229" s="48">
        <f t="shared" si="37"/>
        <v>227</v>
      </c>
      <c r="B229" s="13"/>
      <c r="C229" s="13">
        <f>IF(Assumptions!E$23="Default",'Emission factors'!E229,IF(Assumptions!E$23="FMA",'Emission factors'!F229,G229))</f>
        <v>0</v>
      </c>
      <c r="D229" s="13"/>
      <c r="E229" s="13"/>
      <c r="F229" s="13"/>
      <c r="G229" s="24">
        <f t="shared" si="36"/>
        <v>2.2953333333332466</v>
      </c>
      <c r="AN229" s="13"/>
      <c r="AO229" s="13"/>
      <c r="AP229" s="24">
        <v>769.16974711894488</v>
      </c>
    </row>
    <row r="230" spans="1:42" x14ac:dyDescent="0.35">
      <c r="A230" s="48">
        <f t="shared" si="37"/>
        <v>228</v>
      </c>
      <c r="B230" s="13"/>
      <c r="C230" s="13">
        <f>IF(Assumptions!E$23="Default",'Emission factors'!E230,IF(Assumptions!E$23="FMA",'Emission factors'!F230,G230))</f>
        <v>0</v>
      </c>
      <c r="D230" s="13"/>
      <c r="E230" s="13"/>
      <c r="F230" s="13"/>
      <c r="G230" s="24">
        <f t="shared" si="36"/>
        <v>2.2953333333333603</v>
      </c>
      <c r="AN230" s="13"/>
      <c r="AO230" s="13"/>
      <c r="AP230" s="24">
        <v>771.46508045227813</v>
      </c>
    </row>
    <row r="231" spans="1:42" x14ac:dyDescent="0.35">
      <c r="A231" s="48">
        <f t="shared" si="37"/>
        <v>229</v>
      </c>
      <c r="B231" s="13"/>
      <c r="C231" s="13">
        <f>IF(Assumptions!E$23="Default",'Emission factors'!E231,IF(Assumptions!E$23="FMA",'Emission factors'!F231,G231))</f>
        <v>0</v>
      </c>
      <c r="D231" s="13"/>
      <c r="E231" s="13"/>
      <c r="F231" s="13"/>
      <c r="G231" s="24">
        <f t="shared" si="36"/>
        <v>2.2953333333333603</v>
      </c>
      <c r="AN231" s="13"/>
      <c r="AO231" s="13"/>
      <c r="AP231" s="24">
        <v>773.76041378561149</v>
      </c>
    </row>
    <row r="232" spans="1:42" x14ac:dyDescent="0.35">
      <c r="A232" s="48">
        <f t="shared" si="37"/>
        <v>230</v>
      </c>
      <c r="B232" s="13"/>
      <c r="C232" s="13">
        <f>IF(Assumptions!E$23="Default",'Emission factors'!E232,IF(Assumptions!E$23="FMA",'Emission factors'!F232,G232))</f>
        <v>0</v>
      </c>
      <c r="D232" s="13"/>
      <c r="E232" s="13"/>
      <c r="F232" s="13"/>
      <c r="G232" s="24">
        <f t="shared" si="36"/>
        <v>2.295333333333474</v>
      </c>
      <c r="AN232" s="13"/>
      <c r="AO232" s="13"/>
      <c r="AP232" s="24">
        <v>776.05574711894485</v>
      </c>
    </row>
    <row r="233" spans="1:42" x14ac:dyDescent="0.35">
      <c r="A233" s="48">
        <f t="shared" si="37"/>
        <v>231</v>
      </c>
      <c r="B233" s="13"/>
      <c r="C233" s="13">
        <f>IF(Assumptions!E$23="Default",'Emission factors'!E233,IF(Assumptions!E$23="FMA",'Emission factors'!F233,G233))</f>
        <v>0</v>
      </c>
      <c r="D233" s="13"/>
      <c r="E233" s="13"/>
      <c r="F233" s="13"/>
      <c r="G233" s="24">
        <f t="shared" si="36"/>
        <v>2.2953333333332466</v>
      </c>
      <c r="AN233" s="13"/>
      <c r="AO233" s="13"/>
      <c r="AP233" s="24">
        <v>778.35108045227832</v>
      </c>
    </row>
    <row r="234" spans="1:42" x14ac:dyDescent="0.35">
      <c r="A234" s="48">
        <f t="shared" si="37"/>
        <v>232</v>
      </c>
      <c r="B234" s="13"/>
      <c r="C234" s="13">
        <f>IF(Assumptions!E$23="Default",'Emission factors'!E234,IF(Assumptions!E$23="FMA",'Emission factors'!F234,G234))</f>
        <v>0</v>
      </c>
      <c r="D234" s="13"/>
      <c r="E234" s="13"/>
      <c r="F234" s="13"/>
      <c r="G234" s="24">
        <f t="shared" si="36"/>
        <v>2.2953333333333603</v>
      </c>
      <c r="AN234" s="13"/>
      <c r="AO234" s="13"/>
      <c r="AP234" s="24">
        <v>780.64641378561157</v>
      </c>
    </row>
    <row r="235" spans="1:42" x14ac:dyDescent="0.35">
      <c r="A235" s="48">
        <f t="shared" si="37"/>
        <v>233</v>
      </c>
      <c r="B235" s="13"/>
      <c r="C235" s="13">
        <f>IF(Assumptions!E$23="Default",'Emission factors'!E235,IF(Assumptions!E$23="FMA",'Emission factors'!F235,G235))</f>
        <v>0</v>
      </c>
      <c r="D235" s="13"/>
      <c r="E235" s="13"/>
      <c r="F235" s="13"/>
      <c r="G235" s="24">
        <f t="shared" si="36"/>
        <v>2.2953333333333603</v>
      </c>
      <c r="AN235" s="13"/>
      <c r="AO235" s="13"/>
      <c r="AP235" s="24">
        <v>782.94174711894493</v>
      </c>
    </row>
    <row r="236" spans="1:42" x14ac:dyDescent="0.35">
      <c r="A236" s="48">
        <f t="shared" si="37"/>
        <v>234</v>
      </c>
      <c r="B236" s="13"/>
      <c r="C236" s="13">
        <f>IF(Assumptions!E$23="Default",'Emission factors'!E236,IF(Assumptions!E$23="FMA",'Emission factors'!F236,G236))</f>
        <v>0</v>
      </c>
      <c r="D236" s="13"/>
      <c r="E236" s="13"/>
      <c r="F236" s="13"/>
      <c r="G236" s="24">
        <f t="shared" si="36"/>
        <v>2.2953333333332466</v>
      </c>
      <c r="AN236" s="13"/>
      <c r="AO236" s="13"/>
      <c r="AP236" s="24">
        <v>785.23708045227829</v>
      </c>
    </row>
    <row r="237" spans="1:42" x14ac:dyDescent="0.35">
      <c r="A237" s="48">
        <f t="shared" si="37"/>
        <v>235</v>
      </c>
      <c r="B237" s="13"/>
      <c r="C237" s="13">
        <f>IF(Assumptions!E$23="Default",'Emission factors'!E237,IF(Assumptions!E$23="FMA",'Emission factors'!F237,G237))</f>
        <v>0</v>
      </c>
      <c r="D237" s="13"/>
      <c r="E237" s="13"/>
      <c r="F237" s="13"/>
      <c r="G237" s="24">
        <f t="shared" si="36"/>
        <v>2.295333333333474</v>
      </c>
      <c r="AN237" s="13"/>
      <c r="AO237" s="13"/>
      <c r="AP237" s="24">
        <v>787.53241378561154</v>
      </c>
    </row>
    <row r="238" spans="1:42" x14ac:dyDescent="0.35">
      <c r="A238" s="48">
        <f t="shared" si="37"/>
        <v>236</v>
      </c>
      <c r="B238" s="13"/>
      <c r="C238" s="13">
        <f>IF(Assumptions!E$23="Default",'Emission factors'!E238,IF(Assumptions!E$23="FMA",'Emission factors'!F238,G238))</f>
        <v>0</v>
      </c>
      <c r="D238" s="13"/>
      <c r="E238" s="13"/>
      <c r="F238" s="13"/>
      <c r="G238" s="24">
        <f t="shared" si="36"/>
        <v>2.2953333333333603</v>
      </c>
      <c r="AN238" s="13"/>
      <c r="AO238" s="13"/>
      <c r="AP238" s="24">
        <v>789.82774711894501</v>
      </c>
    </row>
    <row r="239" spans="1:42" x14ac:dyDescent="0.35">
      <c r="A239" s="48">
        <f t="shared" si="37"/>
        <v>237</v>
      </c>
      <c r="B239" s="13"/>
      <c r="C239" s="13">
        <f>IF(Assumptions!E$23="Default",'Emission factors'!E239,IF(Assumptions!E$23="FMA",'Emission factors'!F239,G239))</f>
        <v>0</v>
      </c>
      <c r="D239" s="13"/>
      <c r="E239" s="13"/>
      <c r="F239" s="13"/>
      <c r="G239" s="24">
        <f t="shared" si="36"/>
        <v>2.2953333333333603</v>
      </c>
      <c r="AN239" s="13"/>
      <c r="AO239" s="13"/>
      <c r="AP239" s="24">
        <v>792.12308045227837</v>
      </c>
    </row>
    <row r="240" spans="1:42" x14ac:dyDescent="0.35">
      <c r="A240" s="48">
        <f t="shared" si="37"/>
        <v>238</v>
      </c>
      <c r="B240" s="13"/>
      <c r="C240" s="13">
        <f>IF(Assumptions!E$23="Default",'Emission factors'!E240,IF(Assumptions!E$23="FMA",'Emission factors'!F240,G240))</f>
        <v>0</v>
      </c>
      <c r="D240" s="13"/>
      <c r="E240" s="13"/>
      <c r="F240" s="13"/>
      <c r="G240" s="24">
        <f t="shared" si="36"/>
        <v>2.2953333333332466</v>
      </c>
      <c r="AN240" s="13"/>
      <c r="AO240" s="13"/>
      <c r="AP240" s="24">
        <v>794.41841378561173</v>
      </c>
    </row>
    <row r="241" spans="1:42" x14ac:dyDescent="0.35">
      <c r="A241" s="48">
        <f t="shared" si="37"/>
        <v>239</v>
      </c>
      <c r="B241" s="13"/>
      <c r="C241" s="13">
        <f>IF(Assumptions!E$23="Default",'Emission factors'!E241,IF(Assumptions!E$23="FMA",'Emission factors'!F241,G241))</f>
        <v>0</v>
      </c>
      <c r="D241" s="13"/>
      <c r="E241" s="13"/>
      <c r="F241" s="13"/>
      <c r="G241" s="24">
        <f t="shared" si="36"/>
        <v>2.2953333333333603</v>
      </c>
      <c r="AN241" s="13"/>
      <c r="AO241" s="13"/>
      <c r="AP241" s="24">
        <v>796.71374711894498</v>
      </c>
    </row>
    <row r="242" spans="1:42" x14ac:dyDescent="0.35">
      <c r="A242" s="48">
        <f t="shared" si="37"/>
        <v>240</v>
      </c>
      <c r="B242" s="13"/>
      <c r="C242" s="13">
        <f>IF(Assumptions!E$23="Default",'Emission factors'!E242,IF(Assumptions!E$23="FMA",'Emission factors'!F242,G242))</f>
        <v>0</v>
      </c>
      <c r="D242" s="13"/>
      <c r="E242" s="13"/>
      <c r="F242" s="13"/>
      <c r="G242" s="24">
        <f t="shared" si="36"/>
        <v>2.2953333333333603</v>
      </c>
      <c r="AN242" s="13"/>
      <c r="AO242" s="13"/>
      <c r="AP242" s="24">
        <v>799.00908045227834</v>
      </c>
    </row>
    <row r="243" spans="1:42" x14ac:dyDescent="0.35">
      <c r="A243" s="48">
        <f t="shared" si="37"/>
        <v>241</v>
      </c>
      <c r="B243" s="13"/>
      <c r="C243" s="13">
        <f>IF(Assumptions!E$23="Default",'Emission factors'!E243,IF(Assumptions!E$23="FMA",'Emission factors'!F243,G243))</f>
        <v>0</v>
      </c>
      <c r="D243" s="13"/>
      <c r="E243" s="13"/>
      <c r="F243" s="13"/>
      <c r="G243" s="24">
        <f t="shared" si="36"/>
        <v>2.295333333333474</v>
      </c>
      <c r="AN243" s="13"/>
      <c r="AO243" s="13"/>
      <c r="AP243" s="24">
        <v>801.3044137856117</v>
      </c>
    </row>
    <row r="244" spans="1:42" x14ac:dyDescent="0.35">
      <c r="A244" s="48">
        <f t="shared" si="37"/>
        <v>242</v>
      </c>
      <c r="B244" s="13"/>
      <c r="C244" s="13">
        <f>IF(Assumptions!E$23="Default",'Emission factors'!E244,IF(Assumptions!E$23="FMA",'Emission factors'!F244,G244))</f>
        <v>0</v>
      </c>
      <c r="D244" s="13"/>
      <c r="E244" s="13"/>
      <c r="F244" s="13"/>
      <c r="G244" s="24">
        <f t="shared" si="36"/>
        <v>2.2953333333332466</v>
      </c>
      <c r="AN244" s="13"/>
      <c r="AO244" s="13"/>
      <c r="AP244" s="24">
        <v>803.59974711894517</v>
      </c>
    </row>
    <row r="245" spans="1:42" x14ac:dyDescent="0.35">
      <c r="A245" s="48">
        <f t="shared" si="37"/>
        <v>243</v>
      </c>
      <c r="B245" s="13"/>
      <c r="C245" s="13">
        <f>IF(Assumptions!E$23="Default",'Emission factors'!E245,IF(Assumptions!E$23="FMA",'Emission factors'!F245,G245))</f>
        <v>0</v>
      </c>
      <c r="D245" s="13"/>
      <c r="E245" s="13"/>
      <c r="F245" s="13"/>
      <c r="G245" s="24">
        <f t="shared" si="36"/>
        <v>2.2953333333333603</v>
      </c>
      <c r="AN245" s="13"/>
      <c r="AO245" s="13"/>
      <c r="AP245" s="24">
        <v>805.89508045227842</v>
      </c>
    </row>
    <row r="246" spans="1:42" x14ac:dyDescent="0.35">
      <c r="A246" s="48">
        <f t="shared" si="37"/>
        <v>244</v>
      </c>
      <c r="B246" s="13"/>
      <c r="C246" s="13">
        <f>IF(Assumptions!E$23="Default",'Emission factors'!E246,IF(Assumptions!E$23="FMA",'Emission factors'!F246,G246))</f>
        <v>0</v>
      </c>
      <c r="D246" s="13"/>
      <c r="E246" s="13"/>
      <c r="F246" s="13"/>
      <c r="G246" s="24">
        <f t="shared" si="36"/>
        <v>2.2953333333333603</v>
      </c>
      <c r="AN246" s="13"/>
      <c r="AO246" s="13"/>
      <c r="AP246" s="24">
        <v>808.19041378561178</v>
      </c>
    </row>
    <row r="247" spans="1:42" x14ac:dyDescent="0.35">
      <c r="A247" s="48">
        <f t="shared" si="37"/>
        <v>245</v>
      </c>
      <c r="B247" s="13"/>
      <c r="C247" s="13">
        <f>IF(Assumptions!E$23="Default",'Emission factors'!E247,IF(Assumptions!E$23="FMA",'Emission factors'!F247,G247))</f>
        <v>0</v>
      </c>
      <c r="D247" s="13"/>
      <c r="E247" s="13"/>
      <c r="F247" s="13"/>
      <c r="G247" s="24">
        <f t="shared" si="36"/>
        <v>2.2953333333332466</v>
      </c>
      <c r="AN247" s="13"/>
      <c r="AO247" s="13"/>
      <c r="AP247" s="24">
        <v>810.48574711894514</v>
      </c>
    </row>
    <row r="248" spans="1:42" x14ac:dyDescent="0.35">
      <c r="A248" s="48">
        <f t="shared" si="37"/>
        <v>246</v>
      </c>
      <c r="B248" s="13"/>
      <c r="C248" s="13">
        <f>IF(Assumptions!E$23="Default",'Emission factors'!E248,IF(Assumptions!E$23="FMA",'Emission factors'!F248,G248))</f>
        <v>0</v>
      </c>
      <c r="D248" s="13"/>
      <c r="E248" s="13"/>
      <c r="F248" s="13"/>
      <c r="G248" s="24">
        <f t="shared" si="36"/>
        <v>2.295333333333474</v>
      </c>
      <c r="AN248" s="13"/>
      <c r="AO248" s="13"/>
      <c r="AP248" s="24">
        <v>812.78108045227839</v>
      </c>
    </row>
    <row r="249" spans="1:42" x14ac:dyDescent="0.35">
      <c r="A249" s="48">
        <f t="shared" si="37"/>
        <v>247</v>
      </c>
      <c r="B249" s="13"/>
      <c r="C249" s="13">
        <f>IF(Assumptions!E$23="Default",'Emission factors'!E249,IF(Assumptions!E$23="FMA",'Emission factors'!F249,G249))</f>
        <v>0</v>
      </c>
      <c r="D249" s="13"/>
      <c r="E249" s="13"/>
      <c r="F249" s="13"/>
      <c r="G249" s="24">
        <f t="shared" si="36"/>
        <v>2.2953333333333603</v>
      </c>
      <c r="AN249" s="13"/>
      <c r="AO249" s="13"/>
      <c r="AP249" s="24">
        <v>815.07641378561186</v>
      </c>
    </row>
    <row r="250" spans="1:42" x14ac:dyDescent="0.35">
      <c r="A250" s="48">
        <f t="shared" si="37"/>
        <v>248</v>
      </c>
      <c r="B250" s="13"/>
      <c r="C250" s="13">
        <f>IF(Assumptions!E$23="Default",'Emission factors'!E250,IF(Assumptions!E$23="FMA",'Emission factors'!F250,G250))</f>
        <v>0</v>
      </c>
      <c r="D250" s="13"/>
      <c r="E250" s="13"/>
      <c r="F250" s="13"/>
      <c r="G250" s="24">
        <f t="shared" si="36"/>
        <v>2.2953333333333603</v>
      </c>
      <c r="AN250" s="13"/>
      <c r="AO250" s="13"/>
      <c r="AP250" s="24">
        <v>817.37174711894522</v>
      </c>
    </row>
    <row r="251" spans="1:42" x14ac:dyDescent="0.35">
      <c r="A251" s="48">
        <f t="shared" si="37"/>
        <v>249</v>
      </c>
      <c r="B251" s="13"/>
      <c r="C251" s="13">
        <f>IF(Assumptions!E$23="Default",'Emission factors'!E251,IF(Assumptions!E$23="FMA",'Emission factors'!F251,G251))</f>
        <v>0</v>
      </c>
      <c r="D251" s="13"/>
      <c r="E251" s="13"/>
      <c r="F251" s="13"/>
      <c r="G251" s="24">
        <f t="shared" si="36"/>
        <v>2.2953333333332466</v>
      </c>
      <c r="AN251" s="13"/>
      <c r="AO251" s="13"/>
      <c r="AP251" s="24">
        <v>819.66708045227858</v>
      </c>
    </row>
    <row r="252" spans="1:42" x14ac:dyDescent="0.35">
      <c r="A252" s="48">
        <f t="shared" si="37"/>
        <v>250</v>
      </c>
      <c r="B252" s="13"/>
      <c r="C252" s="13">
        <f>IF(Assumptions!E$23="Default",'Emission factors'!E252,IF(Assumptions!E$23="FMA",'Emission factors'!F252,G252))</f>
        <v>0</v>
      </c>
      <c r="D252" s="13"/>
      <c r="E252" s="13"/>
      <c r="F252" s="13"/>
      <c r="G252" s="24">
        <f t="shared" si="36"/>
        <v>2.2953333333333603</v>
      </c>
      <c r="AN252" s="13"/>
      <c r="AO252" s="13"/>
      <c r="AP252" s="24">
        <v>821.96241378561183</v>
      </c>
    </row>
    <row r="253" spans="1:42" x14ac:dyDescent="0.35">
      <c r="A253" s="48">
        <f t="shared" si="37"/>
        <v>251</v>
      </c>
      <c r="B253" s="13"/>
      <c r="C253" s="13">
        <f>IF(Assumptions!E$23="Default",'Emission factors'!E253,IF(Assumptions!E$23="FMA",'Emission factors'!F253,G253))</f>
        <v>0</v>
      </c>
      <c r="D253" s="13"/>
      <c r="E253" s="13"/>
      <c r="F253" s="13"/>
      <c r="G253" s="24">
        <f t="shared" si="36"/>
        <v>2.295333333333474</v>
      </c>
      <c r="AN253" s="13"/>
      <c r="AO253" s="13"/>
      <c r="AP253" s="24">
        <v>824.25774711894519</v>
      </c>
    </row>
    <row r="254" spans="1:42" x14ac:dyDescent="0.35">
      <c r="A254" s="48">
        <f t="shared" si="37"/>
        <v>252</v>
      </c>
      <c r="B254" s="13"/>
      <c r="C254" s="13">
        <f>IF(Assumptions!E$23="Default",'Emission factors'!E254,IF(Assumptions!E$23="FMA",'Emission factors'!F254,G254))</f>
        <v>0</v>
      </c>
      <c r="D254" s="13"/>
      <c r="E254" s="13"/>
      <c r="F254" s="13"/>
      <c r="G254" s="24">
        <f t="shared" si="36"/>
        <v>2.2953333333333603</v>
      </c>
      <c r="AN254" s="13"/>
      <c r="AO254" s="13"/>
      <c r="AP254" s="24">
        <v>826.55308045227866</v>
      </c>
    </row>
    <row r="255" spans="1:42" x14ac:dyDescent="0.35">
      <c r="A255" s="48">
        <f t="shared" si="37"/>
        <v>253</v>
      </c>
      <c r="B255" s="13"/>
      <c r="C255" s="13">
        <f>IF(Assumptions!E$23="Default",'Emission factors'!E255,IF(Assumptions!E$23="FMA",'Emission factors'!F255,G255))</f>
        <v>0</v>
      </c>
      <c r="D255" s="13"/>
      <c r="E255" s="13"/>
      <c r="F255" s="13"/>
      <c r="G255" s="24">
        <f t="shared" si="36"/>
        <v>2.2953333333332466</v>
      </c>
      <c r="AN255" s="13"/>
      <c r="AO255" s="13"/>
      <c r="AP255" s="24">
        <v>828.84841378561202</v>
      </c>
    </row>
    <row r="256" spans="1:42" x14ac:dyDescent="0.35">
      <c r="A256" s="48">
        <f t="shared" si="37"/>
        <v>254</v>
      </c>
      <c r="B256" s="13"/>
      <c r="C256" s="13">
        <f>IF(Assumptions!E$23="Default",'Emission factors'!E256,IF(Assumptions!E$23="FMA",'Emission factors'!F256,G256))</f>
        <v>0</v>
      </c>
      <c r="D256" s="13"/>
      <c r="E256" s="13"/>
      <c r="F256" s="13"/>
      <c r="G256" s="24">
        <f t="shared" si="36"/>
        <v>2.2953333333333603</v>
      </c>
      <c r="AN256" s="13"/>
      <c r="AO256" s="13"/>
      <c r="AP256" s="24">
        <v>831.14374711894527</v>
      </c>
    </row>
    <row r="257" spans="1:42" x14ac:dyDescent="0.35">
      <c r="A257" s="48">
        <f t="shared" si="37"/>
        <v>255</v>
      </c>
      <c r="B257" s="13"/>
      <c r="C257" s="13">
        <f>IF(Assumptions!E$23="Default",'Emission factors'!E257,IF(Assumptions!E$23="FMA",'Emission factors'!F257,G257))</f>
        <v>0</v>
      </c>
      <c r="D257" s="13"/>
      <c r="E257" s="13"/>
      <c r="F257" s="13"/>
      <c r="G257" s="24">
        <f t="shared" si="36"/>
        <v>2.2953333333333603</v>
      </c>
      <c r="AN257" s="13"/>
      <c r="AO257" s="13"/>
      <c r="AP257" s="24">
        <v>833.43908045227863</v>
      </c>
    </row>
    <row r="258" spans="1:42" x14ac:dyDescent="0.35">
      <c r="A258" s="48">
        <f t="shared" si="37"/>
        <v>256</v>
      </c>
      <c r="B258" s="13"/>
      <c r="C258" s="13">
        <f>IF(Assumptions!E$23="Default",'Emission factors'!E258,IF(Assumptions!E$23="FMA",'Emission factors'!F258,G258))</f>
        <v>0</v>
      </c>
      <c r="D258" s="13"/>
      <c r="E258" s="13"/>
      <c r="F258" s="13"/>
      <c r="G258" s="24">
        <f t="shared" si="36"/>
        <v>2.295333333333474</v>
      </c>
      <c r="AN258" s="13"/>
      <c r="AO258" s="13"/>
      <c r="AP258" s="24">
        <v>835.73441378561199</v>
      </c>
    </row>
    <row r="259" spans="1:42" x14ac:dyDescent="0.35">
      <c r="A259" s="48">
        <f t="shared" si="37"/>
        <v>257</v>
      </c>
      <c r="B259" s="13"/>
      <c r="C259" s="13">
        <f>IF(Assumptions!E$23="Default",'Emission factors'!E259,IF(Assumptions!E$23="FMA",'Emission factors'!F259,G259))</f>
        <v>0</v>
      </c>
      <c r="D259" s="13"/>
      <c r="E259" s="13"/>
      <c r="F259" s="13"/>
      <c r="G259" s="24">
        <f t="shared" si="36"/>
        <v>2.2953333333332466</v>
      </c>
      <c r="AN259" s="13"/>
      <c r="AO259" s="13"/>
      <c r="AP259" s="24">
        <v>838.02974711894547</v>
      </c>
    </row>
    <row r="260" spans="1:42" x14ac:dyDescent="0.35">
      <c r="A260" s="48">
        <f t="shared" si="37"/>
        <v>258</v>
      </c>
      <c r="B260" s="13"/>
      <c r="C260" s="13">
        <f>IF(Assumptions!E$23="Default",'Emission factors'!E260,IF(Assumptions!E$23="FMA",'Emission factors'!F260,G260))</f>
        <v>0</v>
      </c>
      <c r="D260" s="13"/>
      <c r="E260" s="13"/>
      <c r="F260" s="13"/>
      <c r="G260" s="24">
        <f t="shared" ref="G260:G292" si="38">AP261-AP260</f>
        <v>2.2953333333333603</v>
      </c>
      <c r="AN260" s="13"/>
      <c r="AO260" s="13"/>
      <c r="AP260" s="24">
        <v>840.32508045227871</v>
      </c>
    </row>
    <row r="261" spans="1:42" x14ac:dyDescent="0.35">
      <c r="A261" s="48">
        <f t="shared" ref="A261:A293" si="39">A260+1</f>
        <v>259</v>
      </c>
      <c r="B261" s="13"/>
      <c r="C261" s="13">
        <f>IF(Assumptions!E$23="Default",'Emission factors'!E261,IF(Assumptions!E$23="FMA",'Emission factors'!F261,G261))</f>
        <v>0</v>
      </c>
      <c r="D261" s="13"/>
      <c r="E261" s="13"/>
      <c r="F261" s="13"/>
      <c r="G261" s="24">
        <f t="shared" si="38"/>
        <v>2.2953333333333603</v>
      </c>
      <c r="AN261" s="13"/>
      <c r="AO261" s="13"/>
      <c r="AP261" s="24">
        <v>842.62041378561207</v>
      </c>
    </row>
    <row r="262" spans="1:42" x14ac:dyDescent="0.35">
      <c r="A262" s="48">
        <f t="shared" si="39"/>
        <v>260</v>
      </c>
      <c r="B262" s="13"/>
      <c r="C262" s="13">
        <f>IF(Assumptions!E$23="Default",'Emission factors'!E262,IF(Assumptions!E$23="FMA",'Emission factors'!F262,G262))</f>
        <v>0</v>
      </c>
      <c r="D262" s="13"/>
      <c r="E262" s="13"/>
      <c r="F262" s="13"/>
      <c r="G262" s="24">
        <f t="shared" si="38"/>
        <v>2.2953333333332466</v>
      </c>
      <c r="AN262" s="13"/>
      <c r="AO262" s="13"/>
      <c r="AP262" s="24">
        <v>844.91574711894543</v>
      </c>
    </row>
    <row r="263" spans="1:42" x14ac:dyDescent="0.35">
      <c r="A263" s="48">
        <f t="shared" si="39"/>
        <v>261</v>
      </c>
      <c r="B263" s="13"/>
      <c r="C263" s="13">
        <f>IF(Assumptions!E$23="Default",'Emission factors'!E263,IF(Assumptions!E$23="FMA",'Emission factors'!F263,G263))</f>
        <v>0</v>
      </c>
      <c r="D263" s="13"/>
      <c r="E263" s="13"/>
      <c r="F263" s="13"/>
      <c r="G263" s="24">
        <f t="shared" si="38"/>
        <v>2.2953333333333603</v>
      </c>
      <c r="AN263" s="13"/>
      <c r="AO263" s="13"/>
      <c r="AP263" s="24">
        <v>847.21108045227868</v>
      </c>
    </row>
    <row r="264" spans="1:42" x14ac:dyDescent="0.35">
      <c r="A264" s="48">
        <f t="shared" si="39"/>
        <v>262</v>
      </c>
      <c r="B264" s="13"/>
      <c r="C264" s="13">
        <f>IF(Assumptions!E$23="Default",'Emission factors'!E264,IF(Assumptions!E$23="FMA",'Emission factors'!F264,G264))</f>
        <v>0</v>
      </c>
      <c r="D264" s="13"/>
      <c r="E264" s="13"/>
      <c r="F264" s="13"/>
      <c r="G264" s="24">
        <f t="shared" si="38"/>
        <v>2.295333333333474</v>
      </c>
      <c r="AN264" s="13"/>
      <c r="AO264" s="13"/>
      <c r="AP264" s="24">
        <v>849.50641378561204</v>
      </c>
    </row>
    <row r="265" spans="1:42" x14ac:dyDescent="0.35">
      <c r="A265" s="48">
        <f t="shared" si="39"/>
        <v>263</v>
      </c>
      <c r="B265" s="13"/>
      <c r="C265" s="13">
        <f>IF(Assumptions!E$23="Default",'Emission factors'!E265,IF(Assumptions!E$23="FMA",'Emission factors'!F265,G265))</f>
        <v>0</v>
      </c>
      <c r="D265" s="13"/>
      <c r="E265" s="13"/>
      <c r="F265" s="13"/>
      <c r="G265" s="24">
        <f t="shared" si="38"/>
        <v>2.2953333333333603</v>
      </c>
      <c r="AN265" s="13"/>
      <c r="AO265" s="13"/>
      <c r="AP265" s="24">
        <v>851.80174711894551</v>
      </c>
    </row>
    <row r="266" spans="1:42" x14ac:dyDescent="0.35">
      <c r="A266" s="48">
        <f t="shared" si="39"/>
        <v>264</v>
      </c>
      <c r="B266" s="13"/>
      <c r="C266" s="13">
        <f>IF(Assumptions!E$23="Default",'Emission factors'!E266,IF(Assumptions!E$23="FMA",'Emission factors'!F266,G266))</f>
        <v>0</v>
      </c>
      <c r="D266" s="13"/>
      <c r="E266" s="13"/>
      <c r="F266" s="13"/>
      <c r="G266" s="24">
        <f t="shared" si="38"/>
        <v>2.2953333333332466</v>
      </c>
      <c r="AN266" s="13"/>
      <c r="AO266" s="13"/>
      <c r="AP266" s="24">
        <v>854.09708045227887</v>
      </c>
    </row>
    <row r="267" spans="1:42" x14ac:dyDescent="0.35">
      <c r="A267" s="48">
        <f t="shared" si="39"/>
        <v>265</v>
      </c>
      <c r="B267" s="13"/>
      <c r="C267" s="13">
        <f>IF(Assumptions!E$23="Default",'Emission factors'!E267,IF(Assumptions!E$23="FMA",'Emission factors'!F267,G267))</f>
        <v>0</v>
      </c>
      <c r="D267" s="13"/>
      <c r="E267" s="13"/>
      <c r="F267" s="13"/>
      <c r="G267" s="24">
        <f t="shared" si="38"/>
        <v>2.2953333333333603</v>
      </c>
      <c r="AN267" s="13"/>
      <c r="AO267" s="13"/>
      <c r="AP267" s="24">
        <v>856.39241378561212</v>
      </c>
    </row>
    <row r="268" spans="1:42" x14ac:dyDescent="0.35">
      <c r="A268" s="48">
        <f t="shared" si="39"/>
        <v>266</v>
      </c>
      <c r="B268" s="13"/>
      <c r="C268" s="13">
        <f>IF(Assumptions!E$23="Default",'Emission factors'!E268,IF(Assumptions!E$23="FMA",'Emission factors'!F268,G268))</f>
        <v>0</v>
      </c>
      <c r="D268" s="13"/>
      <c r="E268" s="13"/>
      <c r="F268" s="13"/>
      <c r="G268" s="24">
        <f t="shared" si="38"/>
        <v>2.2953333333333603</v>
      </c>
      <c r="AN268" s="13"/>
      <c r="AO268" s="13"/>
      <c r="AP268" s="24">
        <v>858.68774711894548</v>
      </c>
    </row>
    <row r="269" spans="1:42" x14ac:dyDescent="0.35">
      <c r="A269" s="48">
        <f t="shared" si="39"/>
        <v>267</v>
      </c>
      <c r="B269" s="13"/>
      <c r="C269" s="13">
        <f>IF(Assumptions!E$23="Default",'Emission factors'!E269,IF(Assumptions!E$23="FMA",'Emission factors'!F269,G269))</f>
        <v>0</v>
      </c>
      <c r="D269" s="13"/>
      <c r="E269" s="13"/>
      <c r="F269" s="13"/>
      <c r="G269" s="24">
        <f t="shared" si="38"/>
        <v>2.295333333333474</v>
      </c>
      <c r="AN269" s="13"/>
      <c r="AO269" s="13"/>
      <c r="AP269" s="24">
        <v>860.98308045227884</v>
      </c>
    </row>
    <row r="270" spans="1:42" x14ac:dyDescent="0.35">
      <c r="A270" s="48">
        <f t="shared" si="39"/>
        <v>268</v>
      </c>
      <c r="B270" s="13"/>
      <c r="C270" s="13">
        <f>IF(Assumptions!E$23="Default",'Emission factors'!E270,IF(Assumptions!E$23="FMA",'Emission factors'!F270,G270))</f>
        <v>0</v>
      </c>
      <c r="D270" s="13"/>
      <c r="E270" s="13"/>
      <c r="F270" s="13"/>
      <c r="G270" s="24">
        <f t="shared" si="38"/>
        <v>2.2953333333332466</v>
      </c>
      <c r="AN270" s="13"/>
      <c r="AO270" s="13"/>
      <c r="AP270" s="24">
        <v>863.27841378561232</v>
      </c>
    </row>
    <row r="271" spans="1:42" x14ac:dyDescent="0.35">
      <c r="A271" s="48">
        <f t="shared" si="39"/>
        <v>269</v>
      </c>
      <c r="B271" s="13"/>
      <c r="C271" s="13">
        <f>IF(Assumptions!E$23="Default",'Emission factors'!E271,IF(Assumptions!E$23="FMA",'Emission factors'!F271,G271))</f>
        <v>0</v>
      </c>
      <c r="D271" s="13"/>
      <c r="E271" s="13"/>
      <c r="F271" s="13"/>
      <c r="G271" s="24">
        <f t="shared" si="38"/>
        <v>2.2953333333333603</v>
      </c>
      <c r="AN271" s="13"/>
      <c r="AO271" s="13"/>
      <c r="AP271" s="24">
        <v>865.57374711894556</v>
      </c>
    </row>
    <row r="272" spans="1:42" x14ac:dyDescent="0.35">
      <c r="A272" s="48">
        <f t="shared" si="39"/>
        <v>270</v>
      </c>
      <c r="B272" s="13"/>
      <c r="C272" s="13">
        <f>IF(Assumptions!E$23="Default",'Emission factors'!E272,IF(Assumptions!E$23="FMA",'Emission factors'!F272,G272))</f>
        <v>0</v>
      </c>
      <c r="D272" s="13"/>
      <c r="E272" s="13"/>
      <c r="F272" s="13"/>
      <c r="G272" s="24">
        <f t="shared" si="38"/>
        <v>2.2953333333333603</v>
      </c>
      <c r="AN272" s="13"/>
      <c r="AO272" s="13"/>
      <c r="AP272" s="24">
        <v>867.86908045227892</v>
      </c>
    </row>
    <row r="273" spans="1:42" x14ac:dyDescent="0.35">
      <c r="A273" s="48">
        <f t="shared" si="39"/>
        <v>271</v>
      </c>
      <c r="B273" s="13"/>
      <c r="C273" s="13">
        <f>IF(Assumptions!E$23="Default",'Emission factors'!E273,IF(Assumptions!E$23="FMA",'Emission factors'!F273,G273))</f>
        <v>0</v>
      </c>
      <c r="D273" s="13"/>
      <c r="E273" s="13"/>
      <c r="F273" s="13"/>
      <c r="G273" s="24">
        <f t="shared" si="38"/>
        <v>2.2953333333332466</v>
      </c>
      <c r="AN273" s="13"/>
      <c r="AO273" s="13"/>
      <c r="AP273" s="24">
        <v>870.16441378561228</v>
      </c>
    </row>
    <row r="274" spans="1:42" x14ac:dyDescent="0.35">
      <c r="A274" s="48">
        <f t="shared" si="39"/>
        <v>272</v>
      </c>
      <c r="B274" s="13"/>
      <c r="C274" s="13">
        <f>IF(Assumptions!E$23="Default",'Emission factors'!E274,IF(Assumptions!E$23="FMA",'Emission factors'!F274,G274))</f>
        <v>0</v>
      </c>
      <c r="D274" s="13"/>
      <c r="E274" s="13"/>
      <c r="F274" s="13"/>
      <c r="G274" s="24">
        <f t="shared" si="38"/>
        <v>2.2953333333333603</v>
      </c>
      <c r="AN274" s="13"/>
      <c r="AO274" s="13"/>
      <c r="AP274" s="24">
        <v>872.45974711894553</v>
      </c>
    </row>
    <row r="275" spans="1:42" x14ac:dyDescent="0.35">
      <c r="A275" s="48">
        <f t="shared" si="39"/>
        <v>273</v>
      </c>
      <c r="B275" s="13"/>
      <c r="C275" s="13">
        <f>IF(Assumptions!E$23="Default",'Emission factors'!E275,IF(Assumptions!E$23="FMA",'Emission factors'!F275,G275))</f>
        <v>0</v>
      </c>
      <c r="D275" s="13"/>
      <c r="E275" s="13"/>
      <c r="F275" s="13"/>
      <c r="G275" s="24">
        <f t="shared" si="38"/>
        <v>2.295333333333474</v>
      </c>
      <c r="AN275" s="13"/>
      <c r="AO275" s="13"/>
      <c r="AP275" s="24">
        <v>874.75508045227889</v>
      </c>
    </row>
    <row r="276" spans="1:42" x14ac:dyDescent="0.35">
      <c r="A276" s="48">
        <f t="shared" si="39"/>
        <v>274</v>
      </c>
      <c r="B276" s="13"/>
      <c r="C276" s="13">
        <f>IF(Assumptions!E$23="Default",'Emission factors'!E276,IF(Assumptions!E$23="FMA",'Emission factors'!F276,G276))</f>
        <v>0</v>
      </c>
      <c r="D276" s="13"/>
      <c r="E276" s="13"/>
      <c r="F276" s="13"/>
      <c r="G276" s="24">
        <f t="shared" si="38"/>
        <v>2.2953333333333603</v>
      </c>
      <c r="AN276" s="13"/>
      <c r="AO276" s="13"/>
      <c r="AP276" s="24">
        <v>877.05041378561236</v>
      </c>
    </row>
    <row r="277" spans="1:42" x14ac:dyDescent="0.35">
      <c r="A277" s="48">
        <f t="shared" si="39"/>
        <v>275</v>
      </c>
      <c r="B277" s="13"/>
      <c r="C277" s="13">
        <f>IF(Assumptions!E$23="Default",'Emission factors'!E277,IF(Assumptions!E$23="FMA",'Emission factors'!F277,G277))</f>
        <v>0</v>
      </c>
      <c r="D277" s="13"/>
      <c r="E277" s="13"/>
      <c r="F277" s="13"/>
      <c r="G277" s="24">
        <f t="shared" si="38"/>
        <v>2.2953333333332466</v>
      </c>
      <c r="AN277" s="13"/>
      <c r="AO277" s="13"/>
      <c r="AP277" s="24">
        <v>879.34574711894572</v>
      </c>
    </row>
    <row r="278" spans="1:42" x14ac:dyDescent="0.35">
      <c r="A278" s="48">
        <f t="shared" si="39"/>
        <v>276</v>
      </c>
      <c r="B278" s="13"/>
      <c r="C278" s="13">
        <f>IF(Assumptions!E$23="Default",'Emission factors'!E278,IF(Assumptions!E$23="FMA",'Emission factors'!F278,G278))</f>
        <v>0</v>
      </c>
      <c r="D278" s="13"/>
      <c r="E278" s="13"/>
      <c r="F278" s="13"/>
      <c r="G278" s="24">
        <f t="shared" si="38"/>
        <v>2.2953333333333603</v>
      </c>
      <c r="AN278" s="13"/>
      <c r="AO278" s="13"/>
      <c r="AP278" s="24">
        <v>881.64108045227897</v>
      </c>
    </row>
    <row r="279" spans="1:42" x14ac:dyDescent="0.35">
      <c r="A279" s="48">
        <f t="shared" si="39"/>
        <v>277</v>
      </c>
      <c r="B279" s="13"/>
      <c r="C279" s="13">
        <f>IF(Assumptions!E$23="Default",'Emission factors'!E279,IF(Assumptions!E$23="FMA",'Emission factors'!F279,G279))</f>
        <v>0</v>
      </c>
      <c r="D279" s="13"/>
      <c r="E279" s="13"/>
      <c r="F279" s="13"/>
      <c r="G279" s="24">
        <f t="shared" si="38"/>
        <v>2.2953333333333603</v>
      </c>
      <c r="AN279" s="13"/>
      <c r="AO279" s="13"/>
      <c r="AP279" s="24">
        <v>883.93641378561233</v>
      </c>
    </row>
    <row r="280" spans="1:42" x14ac:dyDescent="0.35">
      <c r="A280" s="48">
        <f t="shared" si="39"/>
        <v>278</v>
      </c>
      <c r="B280" s="13"/>
      <c r="C280" s="13">
        <f>IF(Assumptions!E$23="Default",'Emission factors'!E280,IF(Assumptions!E$23="FMA",'Emission factors'!F280,G280))</f>
        <v>0</v>
      </c>
      <c r="D280" s="13"/>
      <c r="E280" s="13"/>
      <c r="F280" s="13"/>
      <c r="G280" s="24">
        <f t="shared" si="38"/>
        <v>2.295333333333474</v>
      </c>
      <c r="AN280" s="13"/>
      <c r="AO280" s="13"/>
      <c r="AP280" s="24">
        <v>886.23174711894569</v>
      </c>
    </row>
    <row r="281" spans="1:42" x14ac:dyDescent="0.35">
      <c r="A281" s="48">
        <f t="shared" si="39"/>
        <v>279</v>
      </c>
      <c r="B281" s="13"/>
      <c r="C281" s="13">
        <f>IF(Assumptions!E$23="Default",'Emission factors'!E281,IF(Assumptions!E$23="FMA",'Emission factors'!F281,G281))</f>
        <v>0</v>
      </c>
      <c r="D281" s="13"/>
      <c r="E281" s="13"/>
      <c r="F281" s="13"/>
      <c r="G281" s="24">
        <f t="shared" si="38"/>
        <v>2.2953333333332466</v>
      </c>
      <c r="AN281" s="13"/>
      <c r="AO281" s="13"/>
      <c r="AP281" s="24">
        <v>888.52708045227917</v>
      </c>
    </row>
    <row r="282" spans="1:42" x14ac:dyDescent="0.35">
      <c r="A282" s="48">
        <f t="shared" si="39"/>
        <v>280</v>
      </c>
      <c r="B282" s="13"/>
      <c r="C282" s="13">
        <f>IF(Assumptions!E$23="Default",'Emission factors'!E282,IF(Assumptions!E$23="FMA",'Emission factors'!F282,G282))</f>
        <v>0</v>
      </c>
      <c r="D282" s="13"/>
      <c r="E282" s="13"/>
      <c r="F282" s="13"/>
      <c r="G282" s="24">
        <f t="shared" si="38"/>
        <v>2.2953333333333603</v>
      </c>
      <c r="AN282" s="13"/>
      <c r="AO282" s="13"/>
      <c r="AP282" s="24">
        <v>890.82241378561241</v>
      </c>
    </row>
    <row r="283" spans="1:42" x14ac:dyDescent="0.35">
      <c r="A283" s="48">
        <f t="shared" si="39"/>
        <v>281</v>
      </c>
      <c r="B283" s="13"/>
      <c r="C283" s="13">
        <f>IF(Assumptions!E$23="Default",'Emission factors'!E283,IF(Assumptions!E$23="FMA",'Emission factors'!F283,G283))</f>
        <v>0</v>
      </c>
      <c r="D283" s="13"/>
      <c r="E283" s="13"/>
      <c r="F283" s="13"/>
      <c r="G283" s="24">
        <f t="shared" si="38"/>
        <v>2.2953333333333603</v>
      </c>
      <c r="AN283" s="13"/>
      <c r="AO283" s="13"/>
      <c r="AP283" s="24">
        <v>893.11774711894577</v>
      </c>
    </row>
    <row r="284" spans="1:42" x14ac:dyDescent="0.35">
      <c r="A284" s="48">
        <f t="shared" si="39"/>
        <v>282</v>
      </c>
      <c r="B284" s="13"/>
      <c r="C284" s="13">
        <f>IF(Assumptions!E$23="Default",'Emission factors'!E284,IF(Assumptions!E$23="FMA",'Emission factors'!F284,G284))</f>
        <v>0</v>
      </c>
      <c r="D284" s="13"/>
      <c r="E284" s="13"/>
      <c r="F284" s="13"/>
      <c r="G284" s="24">
        <f t="shared" si="38"/>
        <v>2.2953333333332466</v>
      </c>
      <c r="AN284" s="13"/>
      <c r="AO284" s="13"/>
      <c r="AP284" s="24">
        <v>895.41308045227913</v>
      </c>
    </row>
    <row r="285" spans="1:42" x14ac:dyDescent="0.35">
      <c r="A285" s="48">
        <f t="shared" si="39"/>
        <v>283</v>
      </c>
      <c r="B285" s="13"/>
      <c r="C285" s="13">
        <f>IF(Assumptions!E$23="Default",'Emission factors'!E285,IF(Assumptions!E$23="FMA",'Emission factors'!F285,G285))</f>
        <v>0</v>
      </c>
      <c r="D285" s="13"/>
      <c r="E285" s="13"/>
      <c r="F285" s="13"/>
      <c r="G285" s="24">
        <f t="shared" si="38"/>
        <v>2.295333333333474</v>
      </c>
      <c r="AN285" s="13"/>
      <c r="AO285" s="13"/>
      <c r="AP285" s="24">
        <v>897.70841378561238</v>
      </c>
    </row>
    <row r="286" spans="1:42" x14ac:dyDescent="0.35">
      <c r="A286" s="48">
        <f t="shared" si="39"/>
        <v>284</v>
      </c>
      <c r="B286" s="13"/>
      <c r="C286" s="13">
        <f>IF(Assumptions!E$23="Default",'Emission factors'!E286,IF(Assumptions!E$23="FMA",'Emission factors'!F286,G286))</f>
        <v>0</v>
      </c>
      <c r="D286" s="13"/>
      <c r="E286" s="13"/>
      <c r="F286" s="13"/>
      <c r="G286" s="24">
        <f t="shared" si="38"/>
        <v>2.2953333333333603</v>
      </c>
      <c r="AN286" s="13"/>
      <c r="AO286" s="13"/>
      <c r="AP286" s="24">
        <v>900.00374711894585</v>
      </c>
    </row>
    <row r="287" spans="1:42" x14ac:dyDescent="0.35">
      <c r="A287" s="48">
        <f t="shared" si="39"/>
        <v>285</v>
      </c>
      <c r="B287" s="13"/>
      <c r="C287" s="13">
        <f>IF(Assumptions!E$23="Default",'Emission factors'!E287,IF(Assumptions!E$23="FMA",'Emission factors'!F287,G287))</f>
        <v>0</v>
      </c>
      <c r="D287" s="13"/>
      <c r="E287" s="13"/>
      <c r="F287" s="13"/>
      <c r="G287" s="24">
        <f t="shared" si="38"/>
        <v>2.2953333333333603</v>
      </c>
      <c r="AN287" s="13"/>
      <c r="AO287" s="13"/>
      <c r="AP287" s="24">
        <v>902.29908045227921</v>
      </c>
    </row>
    <row r="288" spans="1:42" x14ac:dyDescent="0.35">
      <c r="A288" s="48">
        <f t="shared" si="39"/>
        <v>286</v>
      </c>
      <c r="B288" s="13"/>
      <c r="C288" s="13">
        <f>IF(Assumptions!E$23="Default",'Emission factors'!E288,IF(Assumptions!E$23="FMA",'Emission factors'!F288,G288))</f>
        <v>0</v>
      </c>
      <c r="D288" s="13"/>
      <c r="E288" s="13"/>
      <c r="F288" s="13"/>
      <c r="G288" s="24">
        <f t="shared" si="38"/>
        <v>2.2953333333332466</v>
      </c>
      <c r="AN288" s="13"/>
      <c r="AO288" s="13"/>
      <c r="AP288" s="24">
        <v>904.59441378561257</v>
      </c>
    </row>
    <row r="289" spans="1:42" x14ac:dyDescent="0.35">
      <c r="A289" s="48">
        <f t="shared" si="39"/>
        <v>287</v>
      </c>
      <c r="B289" s="13"/>
      <c r="C289" s="13">
        <f>IF(Assumptions!E$23="Default",'Emission factors'!E289,IF(Assumptions!E$23="FMA",'Emission factors'!F289,G289))</f>
        <v>0</v>
      </c>
      <c r="D289" s="13"/>
      <c r="E289" s="13"/>
      <c r="F289" s="13"/>
      <c r="G289" s="24">
        <f t="shared" si="38"/>
        <v>2.2953333333333603</v>
      </c>
      <c r="AN289" s="13"/>
      <c r="AO289" s="13"/>
      <c r="AP289" s="24">
        <v>906.88974711894582</v>
      </c>
    </row>
    <row r="290" spans="1:42" x14ac:dyDescent="0.35">
      <c r="A290" s="48">
        <f t="shared" si="39"/>
        <v>288</v>
      </c>
      <c r="B290" s="13"/>
      <c r="C290" s="13">
        <f>IF(Assumptions!E$23="Default",'Emission factors'!E290,IF(Assumptions!E$23="FMA",'Emission factors'!F290,G290))</f>
        <v>0</v>
      </c>
      <c r="D290" s="13"/>
      <c r="E290" s="13"/>
      <c r="F290" s="13"/>
      <c r="G290" s="24">
        <f t="shared" si="38"/>
        <v>2.295333333333474</v>
      </c>
      <c r="AN290" s="13"/>
      <c r="AO290" s="13"/>
      <c r="AP290" s="24">
        <v>909.18508045227918</v>
      </c>
    </row>
    <row r="291" spans="1:42" x14ac:dyDescent="0.35">
      <c r="A291" s="48">
        <f t="shared" si="39"/>
        <v>289</v>
      </c>
      <c r="B291" s="13"/>
      <c r="C291" s="13">
        <f>IF(Assumptions!E$23="Default",'Emission factors'!E291,IF(Assumptions!E$23="FMA",'Emission factors'!F291,G291))</f>
        <v>0</v>
      </c>
      <c r="D291" s="13"/>
      <c r="E291" s="13"/>
      <c r="F291" s="13"/>
      <c r="G291" s="24">
        <f t="shared" si="38"/>
        <v>2.2953333333333603</v>
      </c>
      <c r="AN291" s="13"/>
      <c r="AO291" s="13"/>
      <c r="AP291" s="24">
        <v>911.48041378561265</v>
      </c>
    </row>
    <row r="292" spans="1:42" x14ac:dyDescent="0.35">
      <c r="A292" s="48">
        <f t="shared" si="39"/>
        <v>290</v>
      </c>
      <c r="B292" s="13"/>
      <c r="C292" s="13">
        <f>IF(Assumptions!E$23="Default",'Emission factors'!E292,IF(Assumptions!E$23="FMA",'Emission factors'!F292,G292))</f>
        <v>0</v>
      </c>
      <c r="D292" s="13"/>
      <c r="E292" s="13"/>
      <c r="F292" s="13"/>
      <c r="G292" s="24">
        <f t="shared" si="38"/>
        <v>2.2953333333332466</v>
      </c>
      <c r="AN292" s="13"/>
      <c r="AO292" s="13"/>
      <c r="AP292" s="24">
        <v>913.77574711894601</v>
      </c>
    </row>
    <row r="293" spans="1:42" ht="15" thickBot="1" x14ac:dyDescent="0.4">
      <c r="A293" s="49">
        <f t="shared" si="39"/>
        <v>291</v>
      </c>
      <c r="B293" s="13"/>
      <c r="C293" s="13"/>
      <c r="D293" s="13"/>
      <c r="E293" s="13"/>
      <c r="F293" s="13"/>
      <c r="G293" s="24"/>
      <c r="AN293" s="13"/>
      <c r="AO293" s="13"/>
      <c r="AP293" s="24">
        <v>916.07108045227926</v>
      </c>
    </row>
    <row r="294" spans="1:42" x14ac:dyDescent="0.35">
      <c r="B294" s="13"/>
      <c r="C294" s="13"/>
      <c r="D294" s="13"/>
      <c r="E294" s="13"/>
      <c r="F294" s="24"/>
    </row>
  </sheetData>
  <mergeCells count="7">
    <mergeCell ref="B1:C1"/>
    <mergeCell ref="AO1:AQ1"/>
    <mergeCell ref="E1:G1"/>
    <mergeCell ref="I1:R1"/>
    <mergeCell ref="S1:V1"/>
    <mergeCell ref="W1:X1"/>
    <mergeCell ref="Y1:AH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S182"/>
  <sheetViews>
    <sheetView topLeftCell="A10" workbookViewId="0">
      <selection activeCell="A7" sqref="A7"/>
    </sheetView>
  </sheetViews>
  <sheetFormatPr defaultRowHeight="14.5" x14ac:dyDescent="0.35"/>
  <cols>
    <col min="1" max="1" width="20" customWidth="1"/>
    <col min="2" max="2" width="21.7265625" customWidth="1"/>
    <col min="3" max="3" width="20.81640625" customWidth="1"/>
    <col min="4" max="4" width="14.54296875" bestFit="1" customWidth="1"/>
    <col min="5" max="5" width="14.7265625" bestFit="1" customWidth="1"/>
    <col min="6" max="7" width="14.7265625" customWidth="1"/>
    <col min="8" max="8" width="15.81640625" bestFit="1" customWidth="1"/>
    <col min="9" max="10" width="14.7265625" bestFit="1" customWidth="1"/>
    <col min="11" max="11" width="16.453125" bestFit="1" customWidth="1"/>
    <col min="12" max="13" width="15.81640625" bestFit="1" customWidth="1"/>
    <col min="14" max="14" width="15.453125" bestFit="1" customWidth="1"/>
    <col min="15" max="15" width="15.7265625" bestFit="1" customWidth="1"/>
    <col min="16" max="16" width="14.453125" bestFit="1" customWidth="1"/>
    <col min="17" max="17" width="13.453125" bestFit="1" customWidth="1"/>
    <col min="18" max="18" width="14.453125" bestFit="1" customWidth="1"/>
    <col min="19" max="19" width="11.54296875" bestFit="1" customWidth="1"/>
    <col min="20" max="21" width="10.54296875" bestFit="1" customWidth="1"/>
    <col min="22" max="22" width="18" bestFit="1" customWidth="1"/>
    <col min="23" max="23" width="11.54296875" bestFit="1" customWidth="1"/>
  </cols>
  <sheetData>
    <row r="1" spans="1:16" s="2" customFormat="1" x14ac:dyDescent="0.35">
      <c r="A1" s="3" t="s">
        <v>132</v>
      </c>
    </row>
    <row r="2" spans="1:16" s="2" customFormat="1" x14ac:dyDescent="0.35"/>
    <row r="3" spans="1:16" s="2" customFormat="1" x14ac:dyDescent="0.35">
      <c r="A3" s="34" t="s">
        <v>133</v>
      </c>
      <c r="B3" s="34"/>
      <c r="C3" s="34"/>
      <c r="D3" s="34"/>
      <c r="E3" s="77"/>
    </row>
    <row r="4" spans="1:16" s="2" customFormat="1" x14ac:dyDescent="0.35">
      <c r="A4" s="101" t="s">
        <v>134</v>
      </c>
      <c r="B4" s="101" t="s">
        <v>135</v>
      </c>
      <c r="C4" s="101" t="s">
        <v>136</v>
      </c>
      <c r="D4" s="101" t="s">
        <v>137</v>
      </c>
      <c r="E4" s="100"/>
    </row>
    <row r="5" spans="1:16" s="2" customFormat="1" x14ac:dyDescent="0.35">
      <c r="A5" s="2" t="s">
        <v>138</v>
      </c>
      <c r="D5" s="2" t="s">
        <v>139</v>
      </c>
      <c r="E5" s="223">
        <v>1</v>
      </c>
      <c r="G5" s="359" t="s">
        <v>140</v>
      </c>
      <c r="H5" s="359"/>
      <c r="I5" s="359"/>
      <c r="J5" s="359"/>
      <c r="K5" s="359"/>
      <c r="L5" s="359"/>
    </row>
    <row r="6" spans="1:16" s="2" customFormat="1" x14ac:dyDescent="0.35">
      <c r="A6" s="5" t="s">
        <v>141</v>
      </c>
      <c r="B6" s="5" t="s">
        <v>142</v>
      </c>
      <c r="C6" s="5" t="s">
        <v>143</v>
      </c>
      <c r="D6" s="5" t="s">
        <v>144</v>
      </c>
      <c r="E6" s="71">
        <f>G12</f>
        <v>4000</v>
      </c>
      <c r="G6" s="352" t="s">
        <v>145</v>
      </c>
      <c r="H6" s="352"/>
      <c r="I6" s="352"/>
      <c r="J6" s="352" t="s">
        <v>146</v>
      </c>
      <c r="K6" s="352"/>
      <c r="L6" s="352"/>
    </row>
    <row r="7" spans="1:16" s="2" customFormat="1" x14ac:dyDescent="0.35">
      <c r="A7" s="2" t="s">
        <v>147</v>
      </c>
      <c r="B7" t="s">
        <v>148</v>
      </c>
      <c r="E7" s="25">
        <v>1400</v>
      </c>
      <c r="G7" s="65" t="s">
        <v>149</v>
      </c>
      <c r="H7" s="66" t="s">
        <v>150</v>
      </c>
      <c r="I7" s="67" t="s">
        <v>151</v>
      </c>
      <c r="J7" s="135">
        <v>45139</v>
      </c>
      <c r="K7" s="66" t="s">
        <v>152</v>
      </c>
      <c r="L7" s="136">
        <v>45505</v>
      </c>
    </row>
    <row r="8" spans="1:16" s="2" customFormat="1" x14ac:dyDescent="0.35">
      <c r="A8" s="2" t="s">
        <v>153</v>
      </c>
      <c r="B8" s="2" t="s">
        <v>154</v>
      </c>
      <c r="C8" s="2" t="s">
        <v>155</v>
      </c>
      <c r="D8" s="113">
        <f ca="1">'Investment results'!C17</f>
        <v>3476.5160484890057</v>
      </c>
      <c r="E8" s="114" t="s">
        <v>156</v>
      </c>
      <c r="G8" s="69" t="e">
        <f>IF($E$26='Harvest calc'!$J16,'Harvest calc'!K16,IF($E$26='Harvest calc'!$J17,'Harvest calc'!K17,IF($E$26='Harvest calc'!$J18,'Harvest calc'!K18,IF($E$26='Harvest calc'!$J19,'Harvest calc'!K19,IF($E$26='Harvest calc'!$J20,'Harvest calc'!K20,IF($E$26='Harvest calc'!$J21,'Harvest calc'!K21,IF($E$26='Harvest calc'!$J22,'Harvest calc'!K22,IF($E$26='Harvest calc'!$J23,'Harvest calc'!K23,'Harvest calc'!K24))))))))</f>
        <v>#REF!</v>
      </c>
      <c r="H8" s="69" t="e">
        <f>IF($E$26='Harvest calc'!$J16,'Harvest calc'!L16,IF($E$26='Harvest calc'!$J17,'Harvest calc'!L17,IF($E$26='Harvest calc'!$J18,'Harvest calc'!L18,IF($E$26='Harvest calc'!$J19,'Harvest calc'!L19,IF($E$26='Harvest calc'!$J20,'Harvest calc'!L20,IF($E$26='Harvest calc'!$J21,'Harvest calc'!L21,IF($E$26='Harvest calc'!$J22,'Harvest calc'!L22,IF($E$26='Harvest calc'!$J23,'Harvest calc'!L23,'Harvest calc'!L24))))))))</f>
        <v>#REF!</v>
      </c>
      <c r="I8" s="69" t="e">
        <f>IF($E$26='Harvest calc'!$J16,'Harvest calc'!M16,IF($E$26='Harvest calc'!$J17,'Harvest calc'!M17,IF($E$26='Harvest calc'!$J18,'Harvest calc'!M18,IF($E$26='Harvest calc'!$J19,'Harvest calc'!M19,IF($E$26='Harvest calc'!$J20,'Harvest calc'!M20,IF($E$26='Harvest calc'!$J21,'Harvest calc'!M21,IF($E$26='Harvest calc'!$J22,'Harvest calc'!M22,IF($E$26='Harvest calc'!$J23,'Harvest calc'!M23,'Harvest calc'!M24))))))))</f>
        <v>#REF!</v>
      </c>
      <c r="J8" s="68">
        <v>11700</v>
      </c>
      <c r="K8" s="69">
        <v>13890</v>
      </c>
      <c r="L8" s="70">
        <v>16080</v>
      </c>
    </row>
    <row r="9" spans="1:16" s="2" customFormat="1" x14ac:dyDescent="0.35">
      <c r="A9" s="2" t="s">
        <v>157</v>
      </c>
      <c r="C9"/>
      <c r="E9" s="38">
        <v>50</v>
      </c>
      <c r="G9" s="108"/>
      <c r="H9" s="108"/>
      <c r="I9" s="108"/>
    </row>
    <row r="10" spans="1:16" s="2" customFormat="1" x14ac:dyDescent="0.35">
      <c r="A10" s="2" t="s">
        <v>158</v>
      </c>
      <c r="B10" s="2" t="s">
        <v>159</v>
      </c>
      <c r="D10" s="113">
        <f>IF(E10=B113,J8,IF(E10=B114,K8,L8))</f>
        <v>11700</v>
      </c>
      <c r="E10" s="141" t="s">
        <v>149</v>
      </c>
      <c r="F10" s="60"/>
      <c r="G10" s="341" t="s">
        <v>160</v>
      </c>
      <c r="H10" s="342"/>
      <c r="I10" s="342"/>
      <c r="J10" s="343"/>
      <c r="K10" s="121"/>
    </row>
    <row r="11" spans="1:16" s="2" customFormat="1" x14ac:dyDescent="0.35">
      <c r="A11" s="2" t="s">
        <v>161</v>
      </c>
      <c r="B11" s="2" t="s">
        <v>162</v>
      </c>
      <c r="E11" s="71" t="e">
        <f>H8</f>
        <v>#REF!</v>
      </c>
      <c r="G11" s="65" t="s">
        <v>149</v>
      </c>
      <c r="H11" s="66" t="s">
        <v>150</v>
      </c>
      <c r="I11" s="66" t="s">
        <v>151</v>
      </c>
      <c r="J11" s="67" t="s">
        <v>163</v>
      </c>
    </row>
    <row r="12" spans="1:16" s="2" customFormat="1" x14ac:dyDescent="0.35">
      <c r="A12" s="2" t="s">
        <v>164</v>
      </c>
      <c r="B12" s="2" t="s">
        <v>165</v>
      </c>
      <c r="E12" s="32">
        <v>6.4000000000000001E-2</v>
      </c>
      <c r="G12" s="68">
        <v>4000</v>
      </c>
      <c r="H12" s="69">
        <v>7000</v>
      </c>
      <c r="I12" s="69">
        <v>13750</v>
      </c>
      <c r="J12" s="70">
        <v>20000</v>
      </c>
      <c r="K12" s="78"/>
      <c r="P12" s="78"/>
    </row>
    <row r="13" spans="1:16" s="2" customFormat="1" x14ac:dyDescent="0.35">
      <c r="A13" s="2" t="s">
        <v>166</v>
      </c>
      <c r="B13" s="2" t="s">
        <v>167</v>
      </c>
      <c r="E13" s="32">
        <v>0.1</v>
      </c>
      <c r="F13" s="19"/>
      <c r="O13" s="78"/>
      <c r="P13" s="78"/>
    </row>
    <row r="14" spans="1:16" s="2" customFormat="1" x14ac:dyDescent="0.35">
      <c r="A14" s="2" t="s">
        <v>168</v>
      </c>
      <c r="B14" s="2" t="s">
        <v>169</v>
      </c>
      <c r="E14" s="32">
        <v>0.06</v>
      </c>
      <c r="F14" s="19"/>
      <c r="G14" s="341" t="s">
        <v>170</v>
      </c>
      <c r="H14" s="342"/>
      <c r="I14" s="342"/>
      <c r="J14" s="342"/>
      <c r="K14" s="343"/>
      <c r="L14" s="76" t="s">
        <v>171</v>
      </c>
      <c r="M14" s="78"/>
      <c r="N14" s="78"/>
      <c r="O14" s="78"/>
      <c r="P14" s="78"/>
    </row>
    <row r="15" spans="1:16" s="2" customFormat="1" x14ac:dyDescent="0.35">
      <c r="A15" s="2" t="s">
        <v>172</v>
      </c>
      <c r="B15" s="59" t="s">
        <v>173</v>
      </c>
      <c r="E15" s="32">
        <v>0.05</v>
      </c>
      <c r="F15" s="19"/>
      <c r="G15" s="74" t="s">
        <v>156</v>
      </c>
      <c r="H15" s="75" t="s">
        <v>174</v>
      </c>
      <c r="I15" s="75" t="s">
        <v>175</v>
      </c>
      <c r="J15" s="118" t="s">
        <v>176</v>
      </c>
      <c r="K15" s="76" t="s">
        <v>177</v>
      </c>
      <c r="L15" s="114" t="s">
        <v>178</v>
      </c>
    </row>
    <row r="16" spans="1:16" s="2" customFormat="1" x14ac:dyDescent="0.35">
      <c r="A16" s="2" t="s">
        <v>179</v>
      </c>
      <c r="B16" s="2" t="s">
        <v>180</v>
      </c>
      <c r="E16" s="20">
        <v>300</v>
      </c>
      <c r="F16" s="19"/>
      <c r="G16" s="129">
        <f>IF($L$15='Farm data'!$A$16,'Farm data'!$B4,IF($L$15='Farm data'!$A$17,'Farm data'!$C4,'Farm data'!$D4))</f>
        <v>834.15</v>
      </c>
      <c r="H16" s="130">
        <f>IF($L$15='Farm data'!$A$16,'Farm data'!$B8,IF($L$15='Farm data'!$A$17,'Farm data'!$C8,'Farm data'!$D8))</f>
        <v>1023.49</v>
      </c>
      <c r="I16" s="102">
        <f>IF($L$15='Farm data'!$A$16,'Farm data'!$B12,IF($L$15='Farm data'!$A$17,'Farm data'!$C12,'Farm data'!$D12))</f>
        <v>1323.704</v>
      </c>
      <c r="J16" s="119">
        <v>6295</v>
      </c>
      <c r="K16" s="102">
        <v>8150.333333333333</v>
      </c>
      <c r="L16" s="124" t="s">
        <v>181</v>
      </c>
    </row>
    <row r="17" spans="1:19" s="2" customFormat="1" x14ac:dyDescent="0.35">
      <c r="A17" s="2" t="s">
        <v>182</v>
      </c>
      <c r="B17" t="s">
        <v>148</v>
      </c>
      <c r="E17" s="20">
        <v>500</v>
      </c>
      <c r="G17" s="131">
        <f>IF($L$15='Farm data'!$A$16,'Farm data'!$B5,IF($L$15='Farm data'!$A$17,'Farm data'!$C5,'Farm data'!$D5))</f>
        <v>652.78600000000006</v>
      </c>
      <c r="H17" s="132">
        <f>IF($L$15='Farm data'!$A$16,'Farm data'!$B9,IF($L$15='Farm data'!$A$17,'Farm data'!$C9,'Farm data'!$D9))</f>
        <v>702.16600000000005</v>
      </c>
      <c r="I17" s="103">
        <f>IF($L$15='Farm data'!$A$16,'Farm data'!$B13,IF($L$15='Farm data'!$A$17,'Farm data'!$C13,'Farm data'!$D13))</f>
        <v>869.36200000000008</v>
      </c>
      <c r="J17" s="120">
        <v>5264.333333333333</v>
      </c>
      <c r="K17" s="103">
        <v>6059.666666666667</v>
      </c>
      <c r="L17" s="124" t="s">
        <v>183</v>
      </c>
      <c r="N17" s="359" t="s">
        <v>184</v>
      </c>
      <c r="O17" s="359"/>
      <c r="P17" s="359"/>
      <c r="Q17" s="359" t="s">
        <v>185</v>
      </c>
      <c r="R17" s="359"/>
      <c r="S17" s="360"/>
    </row>
    <row r="18" spans="1:19" s="2" customFormat="1" x14ac:dyDescent="0.35">
      <c r="A18" s="2" t="s">
        <v>186</v>
      </c>
      <c r="B18" s="2" t="s">
        <v>187</v>
      </c>
      <c r="E18" s="38">
        <v>50</v>
      </c>
      <c r="N18" s="361" t="s">
        <v>188</v>
      </c>
      <c r="O18" s="365"/>
      <c r="P18" s="362"/>
      <c r="Q18" s="104" t="s">
        <v>189</v>
      </c>
      <c r="R18" s="109">
        <f ca="1">R19-R20</f>
        <v>3476.5160484890057</v>
      </c>
      <c r="S18" s="111">
        <f>IF(E$8=J$15,J16,IF(E$8=K$15,K16,IF(E$8=G$15,G16,IF(E$8=H$15,H16,I16))))</f>
        <v>834.15</v>
      </c>
    </row>
    <row r="19" spans="1:19" s="2" customFormat="1" x14ac:dyDescent="0.35">
      <c r="A19" s="2" t="s">
        <v>190</v>
      </c>
      <c r="B19" s="2" t="s">
        <v>187</v>
      </c>
      <c r="E19" s="308">
        <f>IF('Investment results'!C8=Assumptions!I30,Assumptions!H23,Assumptions!H24)</f>
        <v>75</v>
      </c>
      <c r="G19" s="36" t="s">
        <v>191</v>
      </c>
      <c r="H19" s="36" t="s">
        <v>192</v>
      </c>
      <c r="I19" s="60"/>
      <c r="J19" s="352" t="s">
        <v>193</v>
      </c>
      <c r="K19" s="352"/>
      <c r="N19" s="81" t="e">
        <f>IF($E$24=$B$111,G$8,VLOOKUP($E$27,$N$31:$O$70,2,FALSE)*G$8)</f>
        <v>#REF!</v>
      </c>
      <c r="O19" s="79" t="e">
        <f>IF($E$24=$B$111,H$8,VLOOKUP($E$27,$N$31:$O$70,2,FALSE)*H$8)</f>
        <v>#REF!</v>
      </c>
      <c r="P19" s="80" t="e">
        <f>IF($E$24=$B$111,I$8,VLOOKUP($E$27,$N$31:$O$70,2,FALSE)*I$8)</f>
        <v>#REF!</v>
      </c>
      <c r="Q19" s="105" t="s">
        <v>194</v>
      </c>
      <c r="R19" s="110">
        <f ca="1">SUMPRODUCT(OFFSET(Assumptions!$P$31,0,0,E$9,1),OFFSET(Assumptions!$P$133,0,0,E$9,1))</f>
        <v>15989.589234065759</v>
      </c>
      <c r="S19" s="112">
        <f>IF(E$8=J$15,J17,IF(E$8=K$15,K17,IF(E$8=G$15,G17,IF(E$8=H$15,H17,I17))))</f>
        <v>652.78600000000006</v>
      </c>
    </row>
    <row r="20" spans="1:19" s="2" customFormat="1" x14ac:dyDescent="0.35">
      <c r="A20" s="2" t="s">
        <v>195</v>
      </c>
      <c r="E20" s="38">
        <v>16</v>
      </c>
      <c r="G20" s="46">
        <v>9</v>
      </c>
      <c r="H20" s="46"/>
      <c r="J20" s="117" t="s">
        <v>196</v>
      </c>
      <c r="K20" s="117" t="s">
        <v>197</v>
      </c>
      <c r="O20" s="93" t="s">
        <v>198</v>
      </c>
      <c r="Q20" s="106" t="s">
        <v>199</v>
      </c>
      <c r="R20" s="107">
        <f ca="1">SUMPRODUCT(OFFSET(Assumptions!$P$31,0,0,E$9,1),OFFSET(Assumptions!$P$82,0,0,E$9,1))</f>
        <v>12513.073185576754</v>
      </c>
    </row>
    <row r="21" spans="1:19" s="2" customFormat="1" x14ac:dyDescent="0.35">
      <c r="A21" s="2" t="s">
        <v>200</v>
      </c>
      <c r="B21" s="2" t="s">
        <v>201</v>
      </c>
      <c r="E21" s="39">
        <v>2.1499999999999998E-2</v>
      </c>
      <c r="J21" s="116">
        <v>70</v>
      </c>
      <c r="K21" s="116">
        <v>10</v>
      </c>
      <c r="O21" s="302">
        <f>IF(E24=B111,B112,E21)</f>
        <v>0</v>
      </c>
      <c r="P21"/>
    </row>
    <row r="22" spans="1:19" s="2" customFormat="1" x14ac:dyDescent="0.35">
      <c r="A22" s="2" t="s">
        <v>202</v>
      </c>
      <c r="E22" s="114" t="s">
        <v>127</v>
      </c>
      <c r="G22" s="341" t="s">
        <v>203</v>
      </c>
      <c r="H22" s="343"/>
      <c r="O22" s="352" t="s">
        <v>204</v>
      </c>
      <c r="P22" s="352"/>
      <c r="Q22" s="361" t="s">
        <v>205</v>
      </c>
      <c r="R22" s="362"/>
    </row>
    <row r="23" spans="1:19" s="2" customFormat="1" x14ac:dyDescent="0.35">
      <c r="A23" s="2" t="s">
        <v>206</v>
      </c>
      <c r="E23" s="114" t="s">
        <v>127</v>
      </c>
      <c r="G23" s="36" t="s">
        <v>207</v>
      </c>
      <c r="H23" s="116">
        <v>50</v>
      </c>
      <c r="O23" s="113">
        <f>IF(AND(IF('Investment results'!C8=Assumptions!I30,Assumptions!I31,IF('Investment results'!C8=Assumptions!J30,Assumptions!J31,IF('Investment results'!C8=Assumptions!K30,Assumptions!K31,IF('Investment results'!C8=Assumptions!L30,Assumptions!L31,"-"))))&gt;0,E22="Default"),J21,0)</f>
        <v>70</v>
      </c>
      <c r="P23" s="113">
        <f>IF(AND(IF('Investment results'!C8=Assumptions!I30,Assumptions!I31,IF('Investment results'!C8=Assumptions!J30,Assumptions!J31,IF('Investment results'!C8=Assumptions!K30,Assumptions!K31,IF('Investment results'!C8=Assumptions!L30,Assumptions!L31,"-"))))&gt;0,E22="FMA"),K21,0)</f>
        <v>0</v>
      </c>
      <c r="Q23" s="133">
        <f>IF($E$25=$B$104,$E$18,IF($E$25=$B$105,$E$18+($D$10*0.025),$E$18+($D$10*0.04)))</f>
        <v>50</v>
      </c>
      <c r="R23" s="134">
        <f>IF($E25=$B104,$E19,IF($E25=$B105,$E19+($D10*0.025),$E19+($D10*0.04)))</f>
        <v>75</v>
      </c>
    </row>
    <row r="24" spans="1:19" s="2" customFormat="1" x14ac:dyDescent="0.35">
      <c r="A24" s="2" t="s">
        <v>208</v>
      </c>
      <c r="E24" s="114" t="s">
        <v>209</v>
      </c>
      <c r="G24" s="36" t="s">
        <v>190</v>
      </c>
      <c r="H24" s="116">
        <v>75</v>
      </c>
      <c r="N24" s="99"/>
      <c r="O24" s="113">
        <f>IF(AND(IF('Investment results'!C8=Assumptions!I30,Assumptions!I31,IF('Investment results'!C8=Assumptions!J30,Assumptions!J31,IF('Investment results'!C8=Assumptions!K30,Assumptions!K31,IF('Investment results'!C8=Assumptions!L30,Assumptions!L31,"-"))))&gt;0,E23="Default"),J21,0)</f>
        <v>70</v>
      </c>
      <c r="P24" s="113">
        <f>IF(AND(IF('Investment results'!C8=Assumptions!I30,Assumptions!I31,IF('Investment results'!C8=Assumptions!J30,Assumptions!J31,IF('Investment results'!C8=Assumptions!K30,Assumptions!K31,IF('Investment results'!C8=Assumptions!L30,Assumptions!L31,"-"))))&gt;0,E23="FMA"),J21,0)</f>
        <v>0</v>
      </c>
      <c r="Q24" s="134">
        <f>IF($E$25=$B$104,$E$19,IF($E$25=$B$105,$E$19+($D$10*0.025),$E$19+($D$10*0.04)))</f>
        <v>75</v>
      </c>
    </row>
    <row r="25" spans="1:19" s="2" customFormat="1" x14ac:dyDescent="0.35">
      <c r="A25" s="2" t="s">
        <v>210</v>
      </c>
      <c r="B25" s="2" t="s">
        <v>165</v>
      </c>
      <c r="D25" s="113">
        <f>IF(E25=B104,0,IF(E25=B105,D10*0.025,D10*0.04))</f>
        <v>0</v>
      </c>
      <c r="E25" s="114" t="s">
        <v>211</v>
      </c>
      <c r="N25" s="99"/>
      <c r="O25" s="99"/>
    </row>
    <row r="26" spans="1:19" s="2" customFormat="1" x14ac:dyDescent="0.35">
      <c r="A26" s="2" t="s">
        <v>212</v>
      </c>
      <c r="D26" s="151"/>
      <c r="E26" s="114" t="s">
        <v>33</v>
      </c>
      <c r="G26" s="19"/>
      <c r="N26" s="99"/>
      <c r="O26" s="99"/>
    </row>
    <row r="27" spans="1:19" s="2" customFormat="1" x14ac:dyDescent="0.35">
      <c r="A27" s="2" t="s">
        <v>213</v>
      </c>
      <c r="E27" s="114">
        <v>28</v>
      </c>
      <c r="G27" s="19"/>
      <c r="N27" s="99"/>
      <c r="O27" s="99"/>
    </row>
    <row r="28" spans="1:19" s="2" customFormat="1" x14ac:dyDescent="0.35">
      <c r="A28" s="3" t="s">
        <v>214</v>
      </c>
      <c r="B28" s="3"/>
      <c r="F28" s="63"/>
      <c r="J28" s="14"/>
      <c r="N28" s="99"/>
      <c r="O28" s="99"/>
    </row>
    <row r="29" spans="1:19" s="2" customFormat="1" x14ac:dyDescent="0.35">
      <c r="A29" s="34" t="s">
        <v>215</v>
      </c>
      <c r="B29" s="34" t="s">
        <v>216</v>
      </c>
      <c r="C29" s="34" t="s">
        <v>217</v>
      </c>
      <c r="D29" s="34" t="s">
        <v>218</v>
      </c>
      <c r="E29" s="34" t="str">
        <f>'Emission factors'!B2</f>
        <v>Post-1989 exotic</v>
      </c>
      <c r="F29" s="62" t="str">
        <f>'Emission factors'!B2</f>
        <v>Post-1989 exotic</v>
      </c>
      <c r="G29" s="34" t="str">
        <f>'Emission factors'!C2</f>
        <v>Post-1989 native</v>
      </c>
      <c r="I29" s="26" t="s">
        <v>219</v>
      </c>
      <c r="J29" s="27"/>
      <c r="K29" s="27"/>
      <c r="L29" s="27"/>
    </row>
    <row r="30" spans="1:19" s="2" customFormat="1" x14ac:dyDescent="0.35">
      <c r="A30" s="35" t="s">
        <v>137</v>
      </c>
      <c r="B30" s="35" t="s">
        <v>220</v>
      </c>
      <c r="C30" s="35" t="s">
        <v>220</v>
      </c>
      <c r="D30" s="35" t="s">
        <v>220</v>
      </c>
      <c r="E30" s="35" t="s">
        <v>221</v>
      </c>
      <c r="F30" s="35" t="s">
        <v>221</v>
      </c>
      <c r="G30" s="35" t="s">
        <v>221</v>
      </c>
      <c r="I30" s="28" t="s">
        <v>222</v>
      </c>
      <c r="J30" s="28" t="s">
        <v>223</v>
      </c>
      <c r="K30" s="45" t="s">
        <v>224</v>
      </c>
      <c r="L30" s="28" t="s">
        <v>225</v>
      </c>
      <c r="N30" s="36" t="s">
        <v>215</v>
      </c>
      <c r="O30" s="61" t="s">
        <v>226</v>
      </c>
      <c r="P30" s="61" t="s">
        <v>227</v>
      </c>
    </row>
    <row r="31" spans="1:19" s="2" customFormat="1" x14ac:dyDescent="0.35">
      <c r="A31" s="2">
        <v>0</v>
      </c>
      <c r="B31" s="12">
        <v>0</v>
      </c>
      <c r="C31" s="12">
        <v>0</v>
      </c>
      <c r="D31" s="12">
        <v>0</v>
      </c>
      <c r="E31" s="12">
        <v>0</v>
      </c>
      <c r="F31" s="12">
        <v>0</v>
      </c>
      <c r="G31" s="12">
        <v>0</v>
      </c>
      <c r="I31" s="29">
        <v>0</v>
      </c>
      <c r="J31" s="29">
        <v>64.540000000000006</v>
      </c>
      <c r="K31" s="2">
        <v>50</v>
      </c>
      <c r="L31" s="2">
        <v>100</v>
      </c>
      <c r="N31" s="30">
        <v>1</v>
      </c>
      <c r="O31" s="4">
        <v>1</v>
      </c>
      <c r="P31" s="7">
        <f t="shared" ref="P31:P62" si="0">1/((1+E$15)^($N31-$N$31))</f>
        <v>1</v>
      </c>
    </row>
    <row r="32" spans="1:19" s="2" customFormat="1" x14ac:dyDescent="0.35">
      <c r="A32" s="2">
        <f>A31+1</f>
        <v>1</v>
      </c>
      <c r="B32" s="19">
        <f>(IF($A32=$G$20,($R$23+$E$17)*$E$5,IF($A32=$H$20,($R$23+$E$17)*$E$5,$R$23*$E$5))*$O32)+(IF($E22=$B98,$P23,$O23))</f>
        <v>145</v>
      </c>
      <c r="C32" s="19">
        <f>(IF($A32=$G$20,($R$23+$E$17)*$E$5,IF($A32=$H$20,($R$23+$E$17)*$E$5,$R$23*$E$5))*$O32)+(IF($E22=$B98,$P23,$O23))</f>
        <v>145</v>
      </c>
      <c r="D32" s="19">
        <f>((($Q$23+$E$16)*$E$5)*$O32)+(IF($E23=$B98,$P23,$O23))</f>
        <v>420</v>
      </c>
      <c r="E32" s="12">
        <f>'Emission factors'!B3*$E$5</f>
        <v>0.2</v>
      </c>
      <c r="F32" s="12">
        <f>IF($E$20&gt;A31,'Emission factors'!B3*$E$5,0)</f>
        <v>0.2</v>
      </c>
      <c r="G32" s="12">
        <f>'Emission factors'!C3*$E$5</f>
        <v>0.6</v>
      </c>
      <c r="I32" s="29">
        <f t="shared" ref="I32:K63" si="1">I31*(1+$O$21)</f>
        <v>0</v>
      </c>
      <c r="J32" s="29">
        <v>68.540000000000006</v>
      </c>
      <c r="K32" s="29">
        <f t="shared" si="1"/>
        <v>50</v>
      </c>
      <c r="L32" s="29">
        <f t="shared" ref="L32:L63" si="2">L$31*O32</f>
        <v>100</v>
      </c>
      <c r="N32" s="2">
        <f>N31+1</f>
        <v>2</v>
      </c>
      <c r="O32" s="64">
        <f t="shared" ref="O32:O63" si="3">$O31*(1+$O$21)</f>
        <v>1</v>
      </c>
      <c r="P32" s="8">
        <f t="shared" si="0"/>
        <v>0.95238095238095233</v>
      </c>
    </row>
    <row r="33" spans="1:16" s="2" customFormat="1" x14ac:dyDescent="0.35">
      <c r="A33" s="2">
        <f t="shared" ref="A33:A90" si="4">A32+1</f>
        <v>2</v>
      </c>
      <c r="B33" s="19">
        <f>IF($A33=$G$20,($R$23+$E$17)*$E$5,IF($A33=$H$20,($R$23+$E$17)*$E$5,$R$23*$E$5))*$O33</f>
        <v>75</v>
      </c>
      <c r="C33" s="19">
        <f t="shared" ref="B33:C59" si="5">IF($A33=$G$20,($R$23+$E$17)*$E$5,IF($A33=$H$20,($R$23+$E$17)*$E$5,$R$23*$E$5))*$O33</f>
        <v>75</v>
      </c>
      <c r="D33" s="19">
        <f>((($Q$23+$E$16)*$E$5)*$O33)</f>
        <v>350</v>
      </c>
      <c r="E33" s="12">
        <f>'Emission factors'!B4*$E$5</f>
        <v>0.8</v>
      </c>
      <c r="F33" s="12">
        <f>IF($E$20&gt;A32,'Emission factors'!B4*$E$5,0)</f>
        <v>0.8</v>
      </c>
      <c r="G33" s="12">
        <f>'Emission factors'!C4*$E$5</f>
        <v>0.6</v>
      </c>
      <c r="I33" s="29">
        <f t="shared" ref="I33" si="6">I32*(1+$O$21)</f>
        <v>0</v>
      </c>
      <c r="J33" s="29">
        <v>72.790000000000006</v>
      </c>
      <c r="K33" s="29">
        <f t="shared" si="1"/>
        <v>50</v>
      </c>
      <c r="L33" s="29">
        <f t="shared" si="2"/>
        <v>100</v>
      </c>
      <c r="N33" s="2">
        <f t="shared" ref="N33:N96" si="7">N32+1</f>
        <v>3</v>
      </c>
      <c r="O33" s="64">
        <f t="shared" si="3"/>
        <v>1</v>
      </c>
      <c r="P33" s="8">
        <f t="shared" si="0"/>
        <v>0.90702947845804982</v>
      </c>
    </row>
    <row r="34" spans="1:16" s="2" customFormat="1" x14ac:dyDescent="0.35">
      <c r="A34" s="2">
        <f t="shared" si="4"/>
        <v>3</v>
      </c>
      <c r="B34" s="19">
        <f t="shared" si="5"/>
        <v>75</v>
      </c>
      <c r="C34" s="19">
        <f t="shared" si="5"/>
        <v>75</v>
      </c>
      <c r="D34" s="19">
        <f t="shared" ref="D34:D36" si="8">((($Q$23+$E$16)*$E$5)*$O34)</f>
        <v>350</v>
      </c>
      <c r="E34" s="12">
        <f>'Emission factors'!B5*$E$5</f>
        <v>1</v>
      </c>
      <c r="F34" s="12">
        <f>IF($E$20&gt;A33,'Emission factors'!B5*$E$5,0)</f>
        <v>1</v>
      </c>
      <c r="G34" s="12">
        <f>'Emission factors'!C5*$E$5</f>
        <v>1.3</v>
      </c>
      <c r="I34" s="29">
        <f t="shared" ref="I34" si="9">I33*(1+$O$21)</f>
        <v>0</v>
      </c>
      <c r="J34" s="29">
        <v>77.31</v>
      </c>
      <c r="K34" s="29">
        <f t="shared" si="1"/>
        <v>50</v>
      </c>
      <c r="L34" s="29">
        <f t="shared" si="2"/>
        <v>100</v>
      </c>
      <c r="N34" s="2">
        <f t="shared" si="7"/>
        <v>4</v>
      </c>
      <c r="O34" s="64">
        <f t="shared" si="3"/>
        <v>1</v>
      </c>
      <c r="P34" s="8">
        <f t="shared" si="0"/>
        <v>0.86383759853147601</v>
      </c>
    </row>
    <row r="35" spans="1:16" s="2" customFormat="1" x14ac:dyDescent="0.35">
      <c r="A35" s="2">
        <f t="shared" si="4"/>
        <v>4</v>
      </c>
      <c r="B35" s="19">
        <f t="shared" si="5"/>
        <v>75</v>
      </c>
      <c r="C35" s="19">
        <f t="shared" si="5"/>
        <v>75</v>
      </c>
      <c r="D35" s="19">
        <f t="shared" si="8"/>
        <v>350</v>
      </c>
      <c r="E35" s="12">
        <f>'Emission factors'!B6*$E$5</f>
        <v>3</v>
      </c>
      <c r="F35" s="12">
        <f>IF($E$20&gt;A34,'Emission factors'!B6*$E$5,0)</f>
        <v>3</v>
      </c>
      <c r="G35" s="12">
        <f>'Emission factors'!C6*$E$5</f>
        <v>2.0999999999999996</v>
      </c>
      <c r="I35" s="29">
        <f t="shared" ref="I35" si="10">I34*(1+$O$21)</f>
        <v>0</v>
      </c>
      <c r="J35" s="29">
        <v>82.1</v>
      </c>
      <c r="K35" s="29">
        <f t="shared" si="1"/>
        <v>50</v>
      </c>
      <c r="L35" s="29">
        <f t="shared" si="2"/>
        <v>100</v>
      </c>
      <c r="N35" s="2">
        <f t="shared" si="7"/>
        <v>5</v>
      </c>
      <c r="O35" s="64">
        <f t="shared" si="3"/>
        <v>1</v>
      </c>
      <c r="P35" s="8">
        <f t="shared" si="0"/>
        <v>0.82270247479188197</v>
      </c>
    </row>
    <row r="36" spans="1:16" s="2" customFormat="1" x14ac:dyDescent="0.35">
      <c r="A36" s="2">
        <f t="shared" si="4"/>
        <v>5</v>
      </c>
      <c r="B36" s="19">
        <f t="shared" si="5"/>
        <v>75</v>
      </c>
      <c r="C36" s="19">
        <f t="shared" si="5"/>
        <v>75</v>
      </c>
      <c r="D36" s="19">
        <f t="shared" si="8"/>
        <v>350</v>
      </c>
      <c r="E36" s="12">
        <f>'Emission factors'!B7*$E$5</f>
        <v>10</v>
      </c>
      <c r="F36" s="12">
        <f>IF($E$20&gt;A35,'Emission factors'!B7*$E$5,0)</f>
        <v>10</v>
      </c>
      <c r="G36" s="12">
        <f>'Emission factors'!C7*$E$5</f>
        <v>3.2</v>
      </c>
      <c r="I36" s="29">
        <f t="shared" ref="I36" si="11">I35*(1+$O$21)</f>
        <v>0</v>
      </c>
      <c r="J36" s="29">
        <v>87.19</v>
      </c>
      <c r="K36" s="29">
        <f t="shared" si="1"/>
        <v>50</v>
      </c>
      <c r="L36" s="29">
        <f t="shared" si="2"/>
        <v>100</v>
      </c>
      <c r="N36" s="2">
        <f t="shared" si="7"/>
        <v>6</v>
      </c>
      <c r="O36" s="64">
        <f t="shared" si="3"/>
        <v>1</v>
      </c>
      <c r="P36" s="8">
        <f t="shared" si="0"/>
        <v>0.78352616646845896</v>
      </c>
    </row>
    <row r="37" spans="1:16" s="2" customFormat="1" x14ac:dyDescent="0.35">
      <c r="A37" s="2">
        <f t="shared" si="4"/>
        <v>6</v>
      </c>
      <c r="B37" s="19">
        <f t="shared" si="5"/>
        <v>75</v>
      </c>
      <c r="C37" s="19">
        <f t="shared" si="5"/>
        <v>75</v>
      </c>
      <c r="D37" s="19">
        <f>((($Q$23+$E$16)*$E$5)*$O37)</f>
        <v>350</v>
      </c>
      <c r="E37" s="12">
        <f>'Emission factors'!B8*$E$5</f>
        <v>16</v>
      </c>
      <c r="F37" s="12">
        <f>IF($E$20&gt;A36,'Emission factors'!B8*$E$5,0)</f>
        <v>16</v>
      </c>
      <c r="G37" s="12">
        <f>'Emission factors'!C8*$E$5</f>
        <v>4.3</v>
      </c>
      <c r="I37" s="29">
        <f t="shared" ref="I37" si="12">I36*(1+$O$21)</f>
        <v>0</v>
      </c>
      <c r="J37" s="29">
        <v>92.6</v>
      </c>
      <c r="K37" s="29">
        <f t="shared" si="1"/>
        <v>50</v>
      </c>
      <c r="L37" s="29">
        <f t="shared" si="2"/>
        <v>100</v>
      </c>
      <c r="N37" s="2">
        <f t="shared" si="7"/>
        <v>7</v>
      </c>
      <c r="O37" s="64">
        <f t="shared" si="3"/>
        <v>1</v>
      </c>
      <c r="P37" s="8">
        <f t="shared" si="0"/>
        <v>0.74621539663662761</v>
      </c>
    </row>
    <row r="38" spans="1:16" s="2" customFormat="1" x14ac:dyDescent="0.35">
      <c r="A38" s="2">
        <f t="shared" si="4"/>
        <v>7</v>
      </c>
      <c r="B38" s="19">
        <f t="shared" si="5"/>
        <v>75</v>
      </c>
      <c r="C38" s="19">
        <f t="shared" si="5"/>
        <v>75</v>
      </c>
      <c r="D38" s="19">
        <f>($Q$24*$E$5)*$O38</f>
        <v>75</v>
      </c>
      <c r="E38" s="12">
        <f>'Emission factors'!B9*$E$5</f>
        <v>22</v>
      </c>
      <c r="F38" s="12">
        <f>IF($E$20&gt;A37,'Emission factors'!B9*$E$5,0)</f>
        <v>22</v>
      </c>
      <c r="G38" s="12">
        <f>'Emission factors'!C9*$E$5</f>
        <v>5.4</v>
      </c>
      <c r="I38" s="29">
        <f t="shared" ref="I38" si="13">I37*(1+$O$21)</f>
        <v>0</v>
      </c>
      <c r="J38" s="29">
        <v>89.72</v>
      </c>
      <c r="K38" s="29">
        <f t="shared" si="1"/>
        <v>50</v>
      </c>
      <c r="L38" s="29">
        <f t="shared" si="2"/>
        <v>100</v>
      </c>
      <c r="N38" s="2">
        <f t="shared" si="7"/>
        <v>8</v>
      </c>
      <c r="O38" s="64">
        <f t="shared" si="3"/>
        <v>1</v>
      </c>
      <c r="P38" s="8">
        <f t="shared" si="0"/>
        <v>0.71068133013012147</v>
      </c>
    </row>
    <row r="39" spans="1:16" s="2" customFormat="1" x14ac:dyDescent="0.35">
      <c r="A39" s="2">
        <f t="shared" si="4"/>
        <v>8</v>
      </c>
      <c r="B39" s="19">
        <f t="shared" si="5"/>
        <v>75</v>
      </c>
      <c r="C39" s="19">
        <f t="shared" si="5"/>
        <v>75</v>
      </c>
      <c r="D39" s="19">
        <f>($Q$24*$E$5)*$O39</f>
        <v>75</v>
      </c>
      <c r="E39" s="12">
        <f>'Emission factors'!B10*$E$5</f>
        <v>23</v>
      </c>
      <c r="F39" s="12">
        <f>IF($E$20&gt;A38,'Emission factors'!B10*$E$5,0)</f>
        <v>23</v>
      </c>
      <c r="G39" s="12">
        <f>'Emission factors'!C10*$E$5</f>
        <v>6.5</v>
      </c>
      <c r="I39" s="29">
        <f t="shared" ref="I39" si="14">I38*(1+$O$21)</f>
        <v>0</v>
      </c>
      <c r="J39" s="29">
        <v>86.94</v>
      </c>
      <c r="K39" s="29">
        <f t="shared" si="1"/>
        <v>50</v>
      </c>
      <c r="L39" s="29">
        <f t="shared" si="2"/>
        <v>100</v>
      </c>
      <c r="N39" s="2">
        <f t="shared" si="7"/>
        <v>9</v>
      </c>
      <c r="O39" s="64">
        <f t="shared" si="3"/>
        <v>1</v>
      </c>
      <c r="P39" s="8">
        <f t="shared" si="0"/>
        <v>0.67683936202868722</v>
      </c>
    </row>
    <row r="40" spans="1:16" s="2" customFormat="1" x14ac:dyDescent="0.35">
      <c r="A40" s="2">
        <f t="shared" si="4"/>
        <v>9</v>
      </c>
      <c r="B40" s="19">
        <f>IF($A40=$G$20,($R$23+$E$17)*$E$5,IF($A40=$H$20,($R$23+$E$17)*$E$5,$R$23*$E$5))*$O40</f>
        <v>575</v>
      </c>
      <c r="C40" s="19">
        <f t="shared" si="5"/>
        <v>575</v>
      </c>
      <c r="D40" s="19">
        <f t="shared" ref="D40:D90" si="15">($Q$24*$E$5)*$O40</f>
        <v>75</v>
      </c>
      <c r="E40" s="12">
        <f>'Emission factors'!B11*$E$5</f>
        <v>25</v>
      </c>
      <c r="F40" s="12">
        <f>IF($E$20&gt;A39,'Emission factors'!B11*$E$5,0)</f>
        <v>25</v>
      </c>
      <c r="G40" s="12">
        <f>'Emission factors'!C11*$E$5</f>
        <v>7.6000000000000014</v>
      </c>
      <c r="I40" s="29">
        <f t="shared" ref="I40" si="16">I39*(1+$O$21)</f>
        <v>0</v>
      </c>
      <c r="J40" s="29">
        <v>84.25</v>
      </c>
      <c r="K40" s="29">
        <f t="shared" si="1"/>
        <v>50</v>
      </c>
      <c r="L40" s="29">
        <f t="shared" si="2"/>
        <v>100</v>
      </c>
      <c r="N40" s="2">
        <f t="shared" si="7"/>
        <v>10</v>
      </c>
      <c r="O40" s="64">
        <f t="shared" si="3"/>
        <v>1</v>
      </c>
      <c r="P40" s="8">
        <f t="shared" si="0"/>
        <v>0.64460891621779726</v>
      </c>
    </row>
    <row r="41" spans="1:16" s="2" customFormat="1" x14ac:dyDescent="0.35">
      <c r="A41" s="2">
        <f t="shared" si="4"/>
        <v>10</v>
      </c>
      <c r="B41" s="19">
        <f t="shared" si="5"/>
        <v>75</v>
      </c>
      <c r="C41" s="19">
        <f t="shared" si="5"/>
        <v>75</v>
      </c>
      <c r="D41" s="19">
        <f t="shared" si="15"/>
        <v>75</v>
      </c>
      <c r="E41" s="12">
        <f>'Emission factors'!B12*$E$5</f>
        <v>24</v>
      </c>
      <c r="F41" s="12">
        <f>IF($E$20&gt;A40,'Emission factors'!B12*$E$5,0)</f>
        <v>24</v>
      </c>
      <c r="G41" s="12">
        <f>'Emission factors'!C12*$E$5</f>
        <v>8.6000000000000014</v>
      </c>
      <c r="I41" s="29">
        <f t="shared" ref="I41" si="17">I40*(1+$O$21)</f>
        <v>0</v>
      </c>
      <c r="J41" s="29">
        <v>81.64</v>
      </c>
      <c r="K41" s="29">
        <f t="shared" si="1"/>
        <v>50</v>
      </c>
      <c r="L41" s="29">
        <f t="shared" si="2"/>
        <v>100</v>
      </c>
      <c r="N41" s="2">
        <f t="shared" si="7"/>
        <v>11</v>
      </c>
      <c r="O41" s="64">
        <f t="shared" si="3"/>
        <v>1</v>
      </c>
      <c r="P41" s="8">
        <f t="shared" si="0"/>
        <v>0.61391325354075932</v>
      </c>
    </row>
    <row r="42" spans="1:16" s="2" customFormat="1" x14ac:dyDescent="0.35">
      <c r="A42" s="2">
        <f t="shared" si="4"/>
        <v>11</v>
      </c>
      <c r="B42" s="19">
        <f t="shared" si="5"/>
        <v>75</v>
      </c>
      <c r="C42" s="19">
        <f t="shared" si="5"/>
        <v>75</v>
      </c>
      <c r="D42" s="19">
        <f t="shared" si="15"/>
        <v>75</v>
      </c>
      <c r="E42" s="12">
        <f>'Emission factors'!B13*$E$5</f>
        <v>14</v>
      </c>
      <c r="F42" s="12">
        <f>IF($E$20&gt;A41,'Emission factors'!B13*$E$5,0)</f>
        <v>14</v>
      </c>
      <c r="G42" s="12">
        <f>'Emission factors'!C13*$E$5</f>
        <v>9.5999999999999943</v>
      </c>
      <c r="I42" s="29">
        <f t="shared" ref="I42" si="18">I41*(1+$O$21)</f>
        <v>0</v>
      </c>
      <c r="J42" s="29">
        <v>79.11</v>
      </c>
      <c r="K42" s="29">
        <f t="shared" si="1"/>
        <v>50</v>
      </c>
      <c r="L42" s="29">
        <f t="shared" si="2"/>
        <v>100</v>
      </c>
      <c r="N42" s="2">
        <f t="shared" si="7"/>
        <v>12</v>
      </c>
      <c r="O42" s="64">
        <f t="shared" si="3"/>
        <v>1</v>
      </c>
      <c r="P42" s="8">
        <f t="shared" si="0"/>
        <v>0.5846792890864374</v>
      </c>
    </row>
    <row r="43" spans="1:16" s="2" customFormat="1" x14ac:dyDescent="0.35">
      <c r="A43" s="2">
        <f t="shared" si="4"/>
        <v>12</v>
      </c>
      <c r="B43" s="19">
        <f t="shared" si="5"/>
        <v>75</v>
      </c>
      <c r="C43" s="19">
        <f t="shared" si="5"/>
        <v>75</v>
      </c>
      <c r="D43" s="19">
        <f t="shared" si="15"/>
        <v>75</v>
      </c>
      <c r="E43" s="12">
        <f>'Emission factors'!B14*$E$5</f>
        <v>11</v>
      </c>
      <c r="F43" s="12">
        <f>IF($E$20&gt;A42,'Emission factors'!B14*$E$5,0)</f>
        <v>11</v>
      </c>
      <c r="G43" s="12">
        <f>'Emission factors'!C14*$E$5</f>
        <v>10.5</v>
      </c>
      <c r="I43" s="29">
        <f t="shared" ref="I43" si="19">I42*(1+$O$21)</f>
        <v>0</v>
      </c>
      <c r="J43" s="29">
        <v>76.650000000000006</v>
      </c>
      <c r="K43" s="29">
        <f t="shared" si="1"/>
        <v>50</v>
      </c>
      <c r="L43" s="29">
        <f t="shared" si="2"/>
        <v>100</v>
      </c>
      <c r="N43" s="2">
        <f t="shared" si="7"/>
        <v>13</v>
      </c>
      <c r="O43" s="64">
        <f t="shared" si="3"/>
        <v>1</v>
      </c>
      <c r="P43" s="8">
        <f t="shared" si="0"/>
        <v>0.5568374181775595</v>
      </c>
    </row>
    <row r="44" spans="1:16" s="2" customFormat="1" x14ac:dyDescent="0.35">
      <c r="A44" s="2">
        <f t="shared" si="4"/>
        <v>13</v>
      </c>
      <c r="B44" s="19">
        <f t="shared" si="5"/>
        <v>75</v>
      </c>
      <c r="C44" s="19">
        <f t="shared" si="5"/>
        <v>75</v>
      </c>
      <c r="D44" s="19">
        <f t="shared" si="15"/>
        <v>75</v>
      </c>
      <c r="E44" s="12">
        <f>'Emission factors'!B15*$E$5</f>
        <v>8</v>
      </c>
      <c r="F44" s="12">
        <f>IF($E$20&gt;A43,'Emission factors'!B15*$E$5,0)</f>
        <v>8</v>
      </c>
      <c r="G44" s="12">
        <f>'Emission factors'!C15*$E$5</f>
        <v>11.200000000000003</v>
      </c>
      <c r="I44" s="29">
        <f t="shared" ref="I44" si="20">I43*(1+$O$21)</f>
        <v>0</v>
      </c>
      <c r="J44" s="29">
        <v>74.28</v>
      </c>
      <c r="K44" s="29">
        <f t="shared" si="1"/>
        <v>50</v>
      </c>
      <c r="L44" s="29">
        <f t="shared" si="2"/>
        <v>100</v>
      </c>
      <c r="N44" s="2">
        <f t="shared" si="7"/>
        <v>14</v>
      </c>
      <c r="O44" s="64">
        <f t="shared" si="3"/>
        <v>1</v>
      </c>
      <c r="P44" s="8">
        <f t="shared" si="0"/>
        <v>0.53032135064529462</v>
      </c>
    </row>
    <row r="45" spans="1:16" s="2" customFormat="1" x14ac:dyDescent="0.35">
      <c r="A45" s="2">
        <f t="shared" si="4"/>
        <v>14</v>
      </c>
      <c r="B45" s="19">
        <f t="shared" si="5"/>
        <v>75</v>
      </c>
      <c r="C45" s="19">
        <f t="shared" si="5"/>
        <v>75</v>
      </c>
      <c r="D45" s="19">
        <f t="shared" si="15"/>
        <v>75</v>
      </c>
      <c r="E45" s="12">
        <f>'Emission factors'!B16*$E$5</f>
        <v>12</v>
      </c>
      <c r="F45" s="12">
        <f>IF($E$20&gt;A44,'Emission factors'!B16*$E$5,0)</f>
        <v>12</v>
      </c>
      <c r="G45" s="12">
        <f>'Emission factors'!C16*$E$5</f>
        <v>11.799999999999997</v>
      </c>
      <c r="I45" s="29">
        <f t="shared" ref="I45" si="21">I44*(1+$O$21)</f>
        <v>0</v>
      </c>
      <c r="J45" s="29">
        <v>71.97</v>
      </c>
      <c r="K45" s="29">
        <f t="shared" si="1"/>
        <v>50</v>
      </c>
      <c r="L45" s="29">
        <f t="shared" si="2"/>
        <v>100</v>
      </c>
      <c r="N45" s="2">
        <f t="shared" si="7"/>
        <v>15</v>
      </c>
      <c r="O45" s="64">
        <f t="shared" si="3"/>
        <v>1</v>
      </c>
      <c r="P45" s="8">
        <f t="shared" si="0"/>
        <v>0.50506795299551888</v>
      </c>
    </row>
    <row r="46" spans="1:16" s="2" customFormat="1" x14ac:dyDescent="0.35">
      <c r="A46" s="2">
        <f t="shared" si="4"/>
        <v>15</v>
      </c>
      <c r="B46" s="19">
        <f t="shared" si="5"/>
        <v>75</v>
      </c>
      <c r="C46" s="19">
        <f t="shared" si="5"/>
        <v>75</v>
      </c>
      <c r="D46" s="19">
        <f t="shared" si="15"/>
        <v>75</v>
      </c>
      <c r="E46" s="12">
        <f>'Emission factors'!B17*$E$5</f>
        <v>16</v>
      </c>
      <c r="F46" s="12">
        <f>IF($E$20&gt;A45,'Emission factors'!B17*$E$5,0)</f>
        <v>16</v>
      </c>
      <c r="G46" s="12">
        <f>'Emission factors'!C17*$E$5</f>
        <v>12.200000000000003</v>
      </c>
      <c r="I46" s="29">
        <f t="shared" ref="I46" si="22">I45*(1+$O$21)</f>
        <v>0</v>
      </c>
      <c r="J46" s="29">
        <v>69.739999999999995</v>
      </c>
      <c r="K46" s="29">
        <f t="shared" si="1"/>
        <v>50</v>
      </c>
      <c r="L46" s="29">
        <f t="shared" si="2"/>
        <v>100</v>
      </c>
      <c r="N46" s="2">
        <f t="shared" si="7"/>
        <v>16</v>
      </c>
      <c r="O46" s="64">
        <f t="shared" si="3"/>
        <v>1</v>
      </c>
      <c r="P46" s="8">
        <f t="shared" si="0"/>
        <v>0.48101709809097021</v>
      </c>
    </row>
    <row r="47" spans="1:16" s="2" customFormat="1" x14ac:dyDescent="0.35">
      <c r="A47" s="2">
        <f t="shared" si="4"/>
        <v>16</v>
      </c>
      <c r="B47" s="19">
        <f t="shared" si="5"/>
        <v>75</v>
      </c>
      <c r="C47" s="19">
        <f t="shared" si="5"/>
        <v>75</v>
      </c>
      <c r="D47" s="19">
        <f t="shared" si="15"/>
        <v>75</v>
      </c>
      <c r="E47" s="12">
        <f>'Emission factors'!B18*$E$5</f>
        <v>19</v>
      </c>
      <c r="F47" s="12">
        <f>IF($E$20&gt;A46,'Emission factors'!B18*$E$5,0)</f>
        <v>19</v>
      </c>
      <c r="G47" s="12">
        <f>'Emission factors'!C18*$E$5</f>
        <v>12.599999999999994</v>
      </c>
      <c r="I47" s="29">
        <f t="shared" ref="I47" si="23">I46*(1+$O$21)</f>
        <v>0</v>
      </c>
      <c r="J47" s="29">
        <v>67.58</v>
      </c>
      <c r="K47" s="29">
        <f t="shared" si="1"/>
        <v>50</v>
      </c>
      <c r="L47" s="29">
        <f t="shared" si="2"/>
        <v>100</v>
      </c>
      <c r="N47" s="2">
        <f t="shared" si="7"/>
        <v>17</v>
      </c>
      <c r="O47" s="64">
        <f t="shared" si="3"/>
        <v>1</v>
      </c>
      <c r="P47" s="8">
        <f t="shared" si="0"/>
        <v>0.45811152199140021</v>
      </c>
    </row>
    <row r="48" spans="1:16" s="2" customFormat="1" x14ac:dyDescent="0.35">
      <c r="A48" s="2">
        <f t="shared" si="4"/>
        <v>17</v>
      </c>
      <c r="B48" s="19">
        <f t="shared" si="5"/>
        <v>75</v>
      </c>
      <c r="C48" s="19">
        <f t="shared" si="5"/>
        <v>75</v>
      </c>
      <c r="D48" s="19">
        <f t="shared" si="15"/>
        <v>75</v>
      </c>
      <c r="E48" s="12">
        <f>'Emission factors'!B19*$E$5</f>
        <v>21</v>
      </c>
      <c r="F48" s="12">
        <f>IF($E$20&gt;A47,'Emission factors'!B19*$E$5,0)</f>
        <v>0</v>
      </c>
      <c r="G48" s="12">
        <f>'Emission factors'!C19*$E$5</f>
        <v>12.700000000000003</v>
      </c>
      <c r="I48" s="29">
        <f t="shared" ref="I48" si="24">I47*(1+$O$21)</f>
        <v>0</v>
      </c>
      <c r="J48" s="29">
        <v>65.489999999999995</v>
      </c>
      <c r="K48" s="29">
        <f t="shared" si="1"/>
        <v>50</v>
      </c>
      <c r="L48" s="29">
        <f t="shared" si="2"/>
        <v>100</v>
      </c>
      <c r="N48" s="2">
        <f t="shared" si="7"/>
        <v>18</v>
      </c>
      <c r="O48" s="64">
        <f t="shared" si="3"/>
        <v>1</v>
      </c>
      <c r="P48" s="8">
        <f t="shared" si="0"/>
        <v>0.43629668761085727</v>
      </c>
    </row>
    <row r="49" spans="1:18" s="2" customFormat="1" x14ac:dyDescent="0.35">
      <c r="A49" s="2">
        <f t="shared" si="4"/>
        <v>18</v>
      </c>
      <c r="B49" s="19">
        <f t="shared" si="5"/>
        <v>75</v>
      </c>
      <c r="C49" s="19">
        <f t="shared" si="5"/>
        <v>75</v>
      </c>
      <c r="D49" s="19">
        <f t="shared" si="15"/>
        <v>75</v>
      </c>
      <c r="E49" s="12">
        <f>'Emission factors'!B20*$E$5</f>
        <v>23</v>
      </c>
      <c r="F49" s="12">
        <f>IF($E$20&gt;A48,'Emission factors'!B20*$E$5,0)</f>
        <v>0</v>
      </c>
      <c r="G49" s="12">
        <f>'Emission factors'!C20*$E$5</f>
        <v>12.799999999999997</v>
      </c>
      <c r="I49" s="29">
        <f t="shared" ref="I49" si="25">I48*(1+$O$21)</f>
        <v>0</v>
      </c>
      <c r="J49" s="29">
        <v>63.46</v>
      </c>
      <c r="K49" s="29">
        <f t="shared" si="1"/>
        <v>50</v>
      </c>
      <c r="L49" s="29">
        <f t="shared" si="2"/>
        <v>100</v>
      </c>
      <c r="N49" s="2">
        <f t="shared" si="7"/>
        <v>19</v>
      </c>
      <c r="O49" s="64">
        <f t="shared" si="3"/>
        <v>1</v>
      </c>
      <c r="P49" s="8">
        <f t="shared" si="0"/>
        <v>0.41552065486748313</v>
      </c>
    </row>
    <row r="50" spans="1:18" s="2" customFormat="1" x14ac:dyDescent="0.35">
      <c r="A50" s="2">
        <f t="shared" si="4"/>
        <v>19</v>
      </c>
      <c r="B50" s="19">
        <f t="shared" si="5"/>
        <v>75</v>
      </c>
      <c r="C50" s="19">
        <f t="shared" si="5"/>
        <v>75</v>
      </c>
      <c r="D50" s="19">
        <f t="shared" si="15"/>
        <v>75</v>
      </c>
      <c r="E50" s="12">
        <f>'Emission factors'!B21*$E$5</f>
        <v>25</v>
      </c>
      <c r="F50" s="12">
        <f>IF($E$20&gt;A49,'Emission factors'!B21*$E$5,0)</f>
        <v>0</v>
      </c>
      <c r="G50" s="12">
        <f>'Emission factors'!C21*$E$5</f>
        <v>12.700000000000017</v>
      </c>
      <c r="I50" s="29">
        <f t="shared" ref="I50" si="26">I49*(1+$O$21)</f>
        <v>0</v>
      </c>
      <c r="J50" s="29">
        <v>61.49</v>
      </c>
      <c r="K50" s="29">
        <f t="shared" si="1"/>
        <v>50</v>
      </c>
      <c r="L50" s="29">
        <f t="shared" si="2"/>
        <v>100</v>
      </c>
      <c r="N50" s="2">
        <f t="shared" si="7"/>
        <v>20</v>
      </c>
      <c r="O50" s="64">
        <f t="shared" si="3"/>
        <v>1</v>
      </c>
      <c r="P50" s="8">
        <f t="shared" si="0"/>
        <v>0.39573395701665059</v>
      </c>
    </row>
    <row r="51" spans="1:18" s="2" customFormat="1" x14ac:dyDescent="0.35">
      <c r="A51" s="2">
        <f t="shared" si="4"/>
        <v>20</v>
      </c>
      <c r="B51" s="19">
        <f t="shared" si="5"/>
        <v>75</v>
      </c>
      <c r="C51" s="19">
        <f t="shared" si="5"/>
        <v>75</v>
      </c>
      <c r="D51" s="19">
        <f t="shared" si="15"/>
        <v>75</v>
      </c>
      <c r="E51" s="12">
        <f>'Emission factors'!B22*$E$5</f>
        <v>26</v>
      </c>
      <c r="F51" s="12">
        <f>IF($E$20&gt;A50,'Emission factors'!B22*$E$5,0)</f>
        <v>0</v>
      </c>
      <c r="G51" s="12">
        <f>'Emission factors'!C22*$E$5</f>
        <v>12.399999999999977</v>
      </c>
      <c r="I51" s="29">
        <f t="shared" ref="I51" si="27">I50*(1+$O$21)</f>
        <v>0</v>
      </c>
      <c r="J51" s="29">
        <v>59.58</v>
      </c>
      <c r="K51" s="29">
        <f t="shared" si="1"/>
        <v>50</v>
      </c>
      <c r="L51" s="29">
        <f t="shared" si="2"/>
        <v>100</v>
      </c>
      <c r="N51" s="2">
        <f t="shared" si="7"/>
        <v>21</v>
      </c>
      <c r="O51" s="64">
        <f t="shared" si="3"/>
        <v>1</v>
      </c>
      <c r="P51" s="8">
        <f t="shared" si="0"/>
        <v>0.37688948287300061</v>
      </c>
    </row>
    <row r="52" spans="1:18" s="2" customFormat="1" x14ac:dyDescent="0.35">
      <c r="A52" s="2">
        <f t="shared" si="4"/>
        <v>21</v>
      </c>
      <c r="B52" s="19">
        <f t="shared" si="5"/>
        <v>75</v>
      </c>
      <c r="C52" s="19">
        <f t="shared" si="5"/>
        <v>75</v>
      </c>
      <c r="D52" s="19">
        <f t="shared" si="15"/>
        <v>75</v>
      </c>
      <c r="E52" s="12">
        <f>'Emission factors'!B23*$E$5</f>
        <v>26</v>
      </c>
      <c r="F52" s="12">
        <f>IF($E$20&gt;A51,'Emission factors'!B23*$E$5,0)</f>
        <v>0</v>
      </c>
      <c r="G52" s="12">
        <f>'Emission factors'!C23*$E$5</f>
        <v>12.200000000000017</v>
      </c>
      <c r="I52" s="29">
        <f t="shared" ref="I52" si="28">I51*(1+$O$21)</f>
        <v>0</v>
      </c>
      <c r="J52" s="29">
        <v>57.74</v>
      </c>
      <c r="K52" s="29">
        <f t="shared" si="1"/>
        <v>50</v>
      </c>
      <c r="L52" s="29">
        <f t="shared" si="2"/>
        <v>100</v>
      </c>
      <c r="N52" s="2">
        <f t="shared" si="7"/>
        <v>22</v>
      </c>
      <c r="O52" s="64">
        <f t="shared" si="3"/>
        <v>1</v>
      </c>
      <c r="P52" s="8">
        <f t="shared" si="0"/>
        <v>0.35894236464095297</v>
      </c>
    </row>
    <row r="53" spans="1:18" s="2" customFormat="1" x14ac:dyDescent="0.35">
      <c r="A53" s="2">
        <f t="shared" si="4"/>
        <v>22</v>
      </c>
      <c r="B53" s="19">
        <f t="shared" si="5"/>
        <v>75</v>
      </c>
      <c r="C53" s="19">
        <f t="shared" si="5"/>
        <v>75</v>
      </c>
      <c r="D53" s="19">
        <f t="shared" si="15"/>
        <v>75</v>
      </c>
      <c r="E53" s="12">
        <f>'Emission factors'!B24*$E$5</f>
        <v>27</v>
      </c>
      <c r="F53" s="12">
        <f>IF($E$20&gt;A52,'Emission factors'!B24*$E$5,0)</f>
        <v>0</v>
      </c>
      <c r="G53" s="12">
        <f>'Emission factors'!C24*$E$5</f>
        <v>11.699999999999989</v>
      </c>
      <c r="I53" s="29">
        <f t="shared" ref="I53" si="29">I52*(1+$O$21)</f>
        <v>0</v>
      </c>
      <c r="J53" s="29">
        <v>55.95</v>
      </c>
      <c r="K53" s="29">
        <f t="shared" si="1"/>
        <v>50</v>
      </c>
      <c r="L53" s="29">
        <f t="shared" si="2"/>
        <v>100</v>
      </c>
      <c r="N53" s="2">
        <f t="shared" si="7"/>
        <v>23</v>
      </c>
      <c r="O53" s="64">
        <f t="shared" si="3"/>
        <v>1</v>
      </c>
      <c r="P53" s="8">
        <f t="shared" si="0"/>
        <v>0.3418498710866219</v>
      </c>
    </row>
    <row r="54" spans="1:18" s="2" customFormat="1" x14ac:dyDescent="0.35">
      <c r="A54" s="2">
        <f t="shared" si="4"/>
        <v>23</v>
      </c>
      <c r="B54" s="19">
        <f t="shared" si="5"/>
        <v>75</v>
      </c>
      <c r="C54" s="19">
        <f t="shared" si="5"/>
        <v>75</v>
      </c>
      <c r="D54" s="19">
        <f t="shared" si="15"/>
        <v>75</v>
      </c>
      <c r="E54" s="12">
        <f>'Emission factors'!B25*$E$5</f>
        <v>27</v>
      </c>
      <c r="F54" s="12">
        <f>IF($E$20&gt;A53,'Emission factors'!B25*$E$5,0)</f>
        <v>0</v>
      </c>
      <c r="G54" s="12">
        <f>'Emission factors'!C25*$E$5</f>
        <v>11.300000000000011</v>
      </c>
      <c r="I54" s="29">
        <f t="shared" ref="I54" si="30">I53*(1+$O$21)</f>
        <v>0</v>
      </c>
      <c r="J54" s="29">
        <v>54.21</v>
      </c>
      <c r="K54" s="29">
        <f t="shared" si="1"/>
        <v>50</v>
      </c>
      <c r="L54" s="29">
        <f t="shared" si="2"/>
        <v>100</v>
      </c>
      <c r="N54" s="2">
        <f t="shared" si="7"/>
        <v>24</v>
      </c>
      <c r="O54" s="64">
        <f t="shared" si="3"/>
        <v>1</v>
      </c>
      <c r="P54" s="8">
        <f t="shared" si="0"/>
        <v>0.32557130579678267</v>
      </c>
    </row>
    <row r="55" spans="1:18" s="2" customFormat="1" x14ac:dyDescent="0.35">
      <c r="A55" s="2">
        <f t="shared" si="4"/>
        <v>24</v>
      </c>
      <c r="B55" s="19">
        <f t="shared" si="5"/>
        <v>75</v>
      </c>
      <c r="C55" s="19">
        <f t="shared" si="5"/>
        <v>75</v>
      </c>
      <c r="D55" s="19">
        <f t="shared" si="15"/>
        <v>75</v>
      </c>
      <c r="E55" s="12">
        <f>'Emission factors'!B26*$E$5</f>
        <v>28</v>
      </c>
      <c r="F55" s="12">
        <f>IF($E$20&gt;A54,'Emission factors'!B26*$E$5,0)</f>
        <v>0</v>
      </c>
      <c r="G55" s="12">
        <f>'Emission factors'!C26*$E$5</f>
        <v>10.799999999999983</v>
      </c>
      <c r="I55" s="29">
        <f t="shared" ref="I55" si="31">I54*(1+$O$21)</f>
        <v>0</v>
      </c>
      <c r="J55" s="29">
        <v>52.53</v>
      </c>
      <c r="K55" s="29">
        <f t="shared" si="1"/>
        <v>50</v>
      </c>
      <c r="L55" s="29">
        <f t="shared" si="2"/>
        <v>100</v>
      </c>
      <c r="N55" s="2">
        <f t="shared" si="7"/>
        <v>25</v>
      </c>
      <c r="O55" s="64">
        <f t="shared" si="3"/>
        <v>1</v>
      </c>
      <c r="P55" s="8">
        <f t="shared" si="0"/>
        <v>0.31006791028265024</v>
      </c>
    </row>
    <row r="56" spans="1:18" s="2" customFormat="1" x14ac:dyDescent="0.35">
      <c r="A56" s="2">
        <f t="shared" si="4"/>
        <v>25</v>
      </c>
      <c r="B56" s="19">
        <f t="shared" si="5"/>
        <v>75</v>
      </c>
      <c r="C56" s="19">
        <f t="shared" si="5"/>
        <v>75</v>
      </c>
      <c r="D56" s="19">
        <f t="shared" si="15"/>
        <v>75</v>
      </c>
      <c r="E56" s="12">
        <f>'Emission factors'!B27*$E$5</f>
        <v>27</v>
      </c>
      <c r="F56" s="12">
        <f>IF($E$20&gt;A55,'Emission factors'!B27*$E$5,0)</f>
        <v>0</v>
      </c>
      <c r="G56" s="12">
        <f>'Emission factors'!C27*$E$5</f>
        <v>10.300000000000011</v>
      </c>
      <c r="I56" s="29">
        <f t="shared" ref="I56" si="32">I55*(1+$O$21)</f>
        <v>0</v>
      </c>
      <c r="J56" s="29">
        <v>52.05</v>
      </c>
      <c r="K56" s="29">
        <f t="shared" si="1"/>
        <v>50</v>
      </c>
      <c r="L56" s="29">
        <f t="shared" si="2"/>
        <v>100</v>
      </c>
      <c r="N56" s="2">
        <f t="shared" si="7"/>
        <v>26</v>
      </c>
      <c r="O56" s="64">
        <f t="shared" si="3"/>
        <v>1</v>
      </c>
      <c r="P56" s="8">
        <f t="shared" si="0"/>
        <v>0.29530277169776209</v>
      </c>
    </row>
    <row r="57" spans="1:18" s="2" customFormat="1" x14ac:dyDescent="0.35">
      <c r="A57" s="2">
        <f t="shared" si="4"/>
        <v>26</v>
      </c>
      <c r="B57" s="19">
        <f t="shared" si="5"/>
        <v>75</v>
      </c>
      <c r="C57" s="19">
        <f t="shared" si="5"/>
        <v>75</v>
      </c>
      <c r="D57" s="19">
        <f t="shared" si="15"/>
        <v>75</v>
      </c>
      <c r="E57" s="12">
        <f>'Emission factors'!B28*$E$5</f>
        <v>26</v>
      </c>
      <c r="F57" s="12">
        <f>IF($E$20&gt;A56,'Emission factors'!B28*$E$5,0)</f>
        <v>0</v>
      </c>
      <c r="G57" s="12">
        <f>'Emission factors'!C28*$E$5</f>
        <v>9.5999999999999943</v>
      </c>
      <c r="I57" s="29">
        <f t="shared" ref="I57" si="33">I56*(1+$O$21)</f>
        <v>0</v>
      </c>
      <c r="J57" s="29">
        <v>52.05</v>
      </c>
      <c r="K57" s="29">
        <f t="shared" si="1"/>
        <v>50</v>
      </c>
      <c r="L57" s="29">
        <f t="shared" si="2"/>
        <v>100</v>
      </c>
      <c r="N57" s="2">
        <f t="shared" si="7"/>
        <v>27</v>
      </c>
      <c r="O57" s="64">
        <f t="shared" si="3"/>
        <v>1</v>
      </c>
      <c r="P57" s="8">
        <f t="shared" si="0"/>
        <v>0.28124073495024959</v>
      </c>
    </row>
    <row r="58" spans="1:18" s="2" customFormat="1" x14ac:dyDescent="0.35">
      <c r="A58" s="2">
        <f t="shared" si="4"/>
        <v>27</v>
      </c>
      <c r="B58" s="19">
        <f t="shared" si="5"/>
        <v>75</v>
      </c>
      <c r="C58" s="19">
        <f t="shared" si="5"/>
        <v>75</v>
      </c>
      <c r="D58" s="19">
        <f t="shared" si="15"/>
        <v>75</v>
      </c>
      <c r="E58" s="12">
        <f>'Emission factors'!B29*$E$5</f>
        <v>27</v>
      </c>
      <c r="F58" s="12"/>
      <c r="G58" s="12">
        <f>'Emission factors'!C29*$E$5</f>
        <v>9.0999999999999943</v>
      </c>
      <c r="I58" s="29">
        <f t="shared" ref="I58" si="34">I57*(1+$O$21)</f>
        <v>0</v>
      </c>
      <c r="J58" s="29">
        <v>52.05</v>
      </c>
      <c r="K58" s="29">
        <f t="shared" si="1"/>
        <v>50</v>
      </c>
      <c r="L58" s="29">
        <f t="shared" si="2"/>
        <v>100</v>
      </c>
      <c r="N58" s="2">
        <f t="shared" si="7"/>
        <v>28</v>
      </c>
      <c r="O58" s="64">
        <f t="shared" si="3"/>
        <v>1</v>
      </c>
      <c r="P58" s="8">
        <f t="shared" si="0"/>
        <v>0.2678483190002377</v>
      </c>
    </row>
    <row r="59" spans="1:18" s="2" customFormat="1" x14ac:dyDescent="0.35">
      <c r="A59" s="2">
        <f t="shared" si="4"/>
        <v>28</v>
      </c>
      <c r="B59" s="19">
        <f t="shared" si="5"/>
        <v>75</v>
      </c>
      <c r="C59" s="19">
        <f t="shared" si="5"/>
        <v>75</v>
      </c>
      <c r="D59" s="19">
        <f t="shared" si="15"/>
        <v>75</v>
      </c>
      <c r="E59" s="12">
        <f>'Emission factors'!B30*$E$5</f>
        <v>27</v>
      </c>
      <c r="F59" s="12"/>
      <c r="G59" s="12">
        <f>'Emission factors'!C30*$E$5</f>
        <v>8.5</v>
      </c>
      <c r="I59" s="29">
        <f t="shared" ref="I59" si="35">I58*(1+$O$21)</f>
        <v>0</v>
      </c>
      <c r="J59" s="29">
        <v>52.05</v>
      </c>
      <c r="K59" s="29">
        <f t="shared" si="1"/>
        <v>50</v>
      </c>
      <c r="L59" s="29">
        <f t="shared" si="2"/>
        <v>100</v>
      </c>
      <c r="N59" s="2">
        <f t="shared" si="7"/>
        <v>29</v>
      </c>
      <c r="O59" s="64">
        <f t="shared" si="3"/>
        <v>1</v>
      </c>
      <c r="P59" s="8">
        <f t="shared" si="0"/>
        <v>0.25509363714308358</v>
      </c>
    </row>
    <row r="60" spans="1:18" s="2" customFormat="1" x14ac:dyDescent="0.35">
      <c r="A60" s="2">
        <f t="shared" si="4"/>
        <v>29</v>
      </c>
      <c r="B60" s="19">
        <f t="shared" ref="B60:B90" si="36">IF($A60=$G$20,($R$23+$E$17)*$E$5,IF($A60=$H$20,($R$23+$E$17)*$E$5,$R$23*$E$5))*$O60</f>
        <v>75</v>
      </c>
      <c r="C60" s="19"/>
      <c r="D60" s="19">
        <f t="shared" si="15"/>
        <v>75</v>
      </c>
      <c r="E60" s="12">
        <f>'Emission factors'!B31*$E$5</f>
        <v>27</v>
      </c>
      <c r="F60" s="12"/>
      <c r="G60" s="12">
        <f>'Emission factors'!C31*$E$5</f>
        <v>7.9000000000000057</v>
      </c>
      <c r="I60" s="29">
        <f t="shared" ref="I60" si="37">I59*(1+$O$21)</f>
        <v>0</v>
      </c>
      <c r="J60" s="29">
        <v>52.05</v>
      </c>
      <c r="K60" s="29">
        <f t="shared" si="1"/>
        <v>50</v>
      </c>
      <c r="L60" s="29">
        <f t="shared" si="2"/>
        <v>100</v>
      </c>
      <c r="N60" s="2">
        <f t="shared" si="7"/>
        <v>30</v>
      </c>
      <c r="O60" s="64">
        <f t="shared" si="3"/>
        <v>1</v>
      </c>
      <c r="P60" s="8">
        <f t="shared" si="0"/>
        <v>0.24294632108865097</v>
      </c>
    </row>
    <row r="61" spans="1:18" s="2" customFormat="1" x14ac:dyDescent="0.35">
      <c r="A61" s="2">
        <f t="shared" si="4"/>
        <v>30</v>
      </c>
      <c r="B61" s="19">
        <f t="shared" si="36"/>
        <v>75</v>
      </c>
      <c r="C61" s="19"/>
      <c r="D61" s="19">
        <f t="shared" si="15"/>
        <v>75</v>
      </c>
      <c r="E61" s="12">
        <f>'Emission factors'!B32*$E$5</f>
        <v>27</v>
      </c>
      <c r="F61" s="12"/>
      <c r="G61" s="12">
        <f>'Emission factors'!C32*$E$5</f>
        <v>7.4000000000000057</v>
      </c>
      <c r="I61" s="29">
        <f t="shared" ref="I61" si="38">I60*(1+$O$21)</f>
        <v>0</v>
      </c>
      <c r="J61" s="29">
        <v>52.05</v>
      </c>
      <c r="K61" s="29">
        <f t="shared" si="1"/>
        <v>50</v>
      </c>
      <c r="L61" s="29">
        <f t="shared" si="2"/>
        <v>100</v>
      </c>
      <c r="N61" s="2">
        <f t="shared" si="7"/>
        <v>31</v>
      </c>
      <c r="O61" s="64">
        <f t="shared" si="3"/>
        <v>1</v>
      </c>
      <c r="P61" s="8">
        <f t="shared" si="0"/>
        <v>0.23137744865585813</v>
      </c>
    </row>
    <row r="62" spans="1:18" s="2" customFormat="1" x14ac:dyDescent="0.35">
      <c r="A62" s="2">
        <f t="shared" si="4"/>
        <v>31</v>
      </c>
      <c r="B62" s="19">
        <f t="shared" si="36"/>
        <v>75</v>
      </c>
      <c r="C62" s="19"/>
      <c r="D62" s="19">
        <f t="shared" si="15"/>
        <v>75</v>
      </c>
      <c r="E62" s="12">
        <f>'Emission factors'!B33*$E$5</f>
        <v>26</v>
      </c>
      <c r="F62" s="12"/>
      <c r="G62" s="12">
        <f>'Emission factors'!C33*$E$5</f>
        <v>6.8000000000000114</v>
      </c>
      <c r="I62" s="29">
        <f t="shared" ref="I62" si="39">I61*(1+$O$21)</f>
        <v>0</v>
      </c>
      <c r="J62" s="29">
        <v>52.05</v>
      </c>
      <c r="K62" s="29">
        <f t="shared" si="1"/>
        <v>50</v>
      </c>
      <c r="L62" s="29">
        <f t="shared" si="2"/>
        <v>100</v>
      </c>
      <c r="N62" s="2">
        <f t="shared" si="7"/>
        <v>32</v>
      </c>
      <c r="O62" s="64">
        <f t="shared" si="3"/>
        <v>1</v>
      </c>
      <c r="P62" s="8">
        <f t="shared" si="0"/>
        <v>0.220359474910341</v>
      </c>
    </row>
    <row r="63" spans="1:18" x14ac:dyDescent="0.35">
      <c r="A63" s="2">
        <f t="shared" si="4"/>
        <v>32</v>
      </c>
      <c r="B63" s="19">
        <f t="shared" si="36"/>
        <v>75</v>
      </c>
      <c r="C63" s="19"/>
      <c r="D63" s="19">
        <f t="shared" si="15"/>
        <v>75</v>
      </c>
      <c r="E63" s="12">
        <f>'Emission factors'!B34*$E$5</f>
        <v>26</v>
      </c>
      <c r="F63" s="12"/>
      <c r="G63" s="12">
        <f>'Emission factors'!C34*$E$5</f>
        <v>6.3000000000000114</v>
      </c>
      <c r="H63" s="2"/>
      <c r="I63" s="29">
        <f t="shared" ref="I63" si="40">I62*(1+$O$21)</f>
        <v>0</v>
      </c>
      <c r="J63" s="29">
        <v>52.05</v>
      </c>
      <c r="K63" s="29">
        <f t="shared" si="1"/>
        <v>50</v>
      </c>
      <c r="L63" s="29">
        <f t="shared" si="2"/>
        <v>100</v>
      </c>
      <c r="M63" s="2"/>
      <c r="N63" s="2">
        <f t="shared" si="7"/>
        <v>33</v>
      </c>
      <c r="O63" s="64">
        <f t="shared" si="3"/>
        <v>1</v>
      </c>
      <c r="P63" s="8">
        <f t="shared" ref="P63:P80" si="41">1/((1+E$15)^($N63-$N$31))</f>
        <v>0.20986616658127716</v>
      </c>
      <c r="Q63" s="2"/>
      <c r="R63" s="2"/>
    </row>
    <row r="64" spans="1:18" x14ac:dyDescent="0.35">
      <c r="A64" s="2">
        <f t="shared" si="4"/>
        <v>33</v>
      </c>
      <c r="B64" s="19">
        <f t="shared" si="36"/>
        <v>75</v>
      </c>
      <c r="C64" s="19"/>
      <c r="D64" s="19">
        <f t="shared" si="15"/>
        <v>75</v>
      </c>
      <c r="E64" s="12">
        <f>'Emission factors'!B35*$E$5</f>
        <v>26</v>
      </c>
      <c r="F64" s="12"/>
      <c r="G64" s="12">
        <f>'Emission factors'!C35*$E$5</f>
        <v>5.6999999999999886</v>
      </c>
      <c r="H64" s="2"/>
      <c r="I64" s="29">
        <f t="shared" ref="I64" si="42">I63*(1+$O$21)</f>
        <v>0</v>
      </c>
      <c r="J64" s="29">
        <v>52.05</v>
      </c>
      <c r="K64" s="29">
        <f t="shared" ref="K64:K95" si="43">K63*(1+$O$21)</f>
        <v>50</v>
      </c>
      <c r="L64" s="29">
        <f t="shared" ref="L64:L95" si="44">L$31*O64</f>
        <v>100</v>
      </c>
      <c r="M64" s="2"/>
      <c r="N64" s="2">
        <f t="shared" si="7"/>
        <v>34</v>
      </c>
      <c r="O64" s="64">
        <f t="shared" ref="O64:O95" si="45">$O63*(1+$O$21)</f>
        <v>1</v>
      </c>
      <c r="P64" s="8">
        <f t="shared" si="41"/>
        <v>0.19987253960121634</v>
      </c>
    </row>
    <row r="65" spans="1:16" x14ac:dyDescent="0.35">
      <c r="A65" s="2">
        <f t="shared" si="4"/>
        <v>34</v>
      </c>
      <c r="B65" s="19">
        <f t="shared" si="36"/>
        <v>75</v>
      </c>
      <c r="C65" s="19"/>
      <c r="D65" s="19">
        <f t="shared" si="15"/>
        <v>75</v>
      </c>
      <c r="E65" s="12">
        <f>'Emission factors'!B36*$E$5</f>
        <v>25</v>
      </c>
      <c r="F65" s="12"/>
      <c r="G65" s="12">
        <f>'Emission factors'!C36*$E$5</f>
        <v>5.3000000000000114</v>
      </c>
      <c r="H65" s="2"/>
      <c r="I65" s="29">
        <f t="shared" ref="I65" si="46">I64*(1+$O$21)</f>
        <v>0</v>
      </c>
      <c r="J65" s="29">
        <v>52.05</v>
      </c>
      <c r="K65" s="29">
        <f t="shared" si="43"/>
        <v>50</v>
      </c>
      <c r="L65" s="29">
        <f t="shared" si="44"/>
        <v>100</v>
      </c>
      <c r="M65" s="2"/>
      <c r="N65" s="2">
        <f t="shared" si="7"/>
        <v>35</v>
      </c>
      <c r="O65" s="64">
        <f t="shared" si="45"/>
        <v>1</v>
      </c>
      <c r="P65" s="8">
        <f t="shared" si="41"/>
        <v>0.19035479962020604</v>
      </c>
    </row>
    <row r="66" spans="1:16" x14ac:dyDescent="0.35">
      <c r="A66" s="2">
        <f t="shared" si="4"/>
        <v>35</v>
      </c>
      <c r="B66" s="19">
        <f t="shared" si="36"/>
        <v>75</v>
      </c>
      <c r="C66" s="19"/>
      <c r="D66" s="19">
        <f t="shared" si="15"/>
        <v>75</v>
      </c>
      <c r="E66" s="12">
        <f>'Emission factors'!B37*$E$5</f>
        <v>25</v>
      </c>
      <c r="F66" s="12"/>
      <c r="G66" s="12">
        <f>'Emission factors'!C37*$E$5</f>
        <v>4.8999999999999773</v>
      </c>
      <c r="H66" s="2"/>
      <c r="I66" s="29">
        <f t="shared" ref="I66" si="47">I65*(1+$O$21)</f>
        <v>0</v>
      </c>
      <c r="J66" s="29">
        <v>52.05</v>
      </c>
      <c r="K66" s="29">
        <f t="shared" si="43"/>
        <v>50</v>
      </c>
      <c r="L66" s="29">
        <f t="shared" si="44"/>
        <v>100</v>
      </c>
      <c r="M66" s="2"/>
      <c r="N66" s="2">
        <f t="shared" si="7"/>
        <v>36</v>
      </c>
      <c r="O66" s="64">
        <f t="shared" si="45"/>
        <v>1</v>
      </c>
      <c r="P66" s="8">
        <f t="shared" si="41"/>
        <v>0.18129028535257716</v>
      </c>
    </row>
    <row r="67" spans="1:16" x14ac:dyDescent="0.35">
      <c r="A67" s="2">
        <f t="shared" si="4"/>
        <v>36</v>
      </c>
      <c r="B67" s="19">
        <f t="shared" si="36"/>
        <v>75</v>
      </c>
      <c r="C67" s="19"/>
      <c r="D67" s="19">
        <f t="shared" si="15"/>
        <v>75</v>
      </c>
      <c r="E67" s="12">
        <f>'Emission factors'!B38*$E$5</f>
        <v>25</v>
      </c>
      <c r="F67" s="12"/>
      <c r="G67" s="12">
        <f>'Emission factors'!C38*$E$5</f>
        <v>4.3999999999999773</v>
      </c>
      <c r="H67" s="2"/>
      <c r="I67" s="29">
        <f t="shared" ref="I67" si="48">I66*(1+$O$21)</f>
        <v>0</v>
      </c>
      <c r="J67" s="29">
        <v>52.05</v>
      </c>
      <c r="K67" s="29">
        <f t="shared" si="43"/>
        <v>50</v>
      </c>
      <c r="L67" s="29">
        <f t="shared" si="44"/>
        <v>100</v>
      </c>
      <c r="M67" s="2"/>
      <c r="N67" s="2">
        <f t="shared" si="7"/>
        <v>37</v>
      </c>
      <c r="O67" s="64">
        <f t="shared" si="45"/>
        <v>1</v>
      </c>
      <c r="P67" s="8">
        <f t="shared" si="41"/>
        <v>0.17265741462150208</v>
      </c>
    </row>
    <row r="68" spans="1:16" x14ac:dyDescent="0.35">
      <c r="A68" s="2">
        <f t="shared" si="4"/>
        <v>37</v>
      </c>
      <c r="B68" s="19">
        <f t="shared" si="36"/>
        <v>75</v>
      </c>
      <c r="C68" s="19"/>
      <c r="D68" s="19">
        <f t="shared" si="15"/>
        <v>75</v>
      </c>
      <c r="E68" s="12">
        <f>'Emission factors'!B39*$E$5</f>
        <v>24</v>
      </c>
      <c r="F68" s="12"/>
      <c r="G68" s="12">
        <f>'Emission factors'!C39*$E$5</f>
        <v>4.1000000000000227</v>
      </c>
      <c r="H68" s="2"/>
      <c r="I68" s="29">
        <f t="shared" ref="I68" si="49">I67*(1+$O$21)</f>
        <v>0</v>
      </c>
      <c r="J68" s="29">
        <v>52.05</v>
      </c>
      <c r="K68" s="29">
        <f t="shared" si="43"/>
        <v>50</v>
      </c>
      <c r="L68" s="29">
        <f t="shared" si="44"/>
        <v>100</v>
      </c>
      <c r="M68" s="2"/>
      <c r="N68" s="2">
        <f t="shared" si="7"/>
        <v>38</v>
      </c>
      <c r="O68" s="64">
        <f t="shared" si="45"/>
        <v>1</v>
      </c>
      <c r="P68" s="8">
        <f t="shared" si="41"/>
        <v>0.1644356329728591</v>
      </c>
    </row>
    <row r="69" spans="1:16" x14ac:dyDescent="0.35">
      <c r="A69" s="2">
        <f t="shared" si="4"/>
        <v>38</v>
      </c>
      <c r="B69" s="19">
        <f t="shared" si="36"/>
        <v>75</v>
      </c>
      <c r="C69" s="19"/>
      <c r="D69" s="19">
        <f t="shared" si="15"/>
        <v>75</v>
      </c>
      <c r="E69" s="12">
        <f>'Emission factors'!B40*$E$5</f>
        <v>24</v>
      </c>
      <c r="F69" s="12"/>
      <c r="G69" s="12">
        <f>'Emission factors'!C40*$E$5</f>
        <v>3.6999999999999886</v>
      </c>
      <c r="H69" s="2"/>
      <c r="I69" s="29">
        <f t="shared" ref="I69" si="50">I68*(1+$O$21)</f>
        <v>0</v>
      </c>
      <c r="J69" s="29">
        <v>52.05</v>
      </c>
      <c r="K69" s="29">
        <f t="shared" si="43"/>
        <v>50</v>
      </c>
      <c r="L69" s="29">
        <f t="shared" si="44"/>
        <v>100</v>
      </c>
      <c r="M69" s="2"/>
      <c r="N69" s="2">
        <f t="shared" si="7"/>
        <v>39</v>
      </c>
      <c r="O69" s="64">
        <f t="shared" si="45"/>
        <v>1</v>
      </c>
      <c r="P69" s="8">
        <f t="shared" si="41"/>
        <v>0.15660536473605632</v>
      </c>
    </row>
    <row r="70" spans="1:16" x14ac:dyDescent="0.35">
      <c r="A70" s="2">
        <f t="shared" si="4"/>
        <v>39</v>
      </c>
      <c r="B70" s="19">
        <f t="shared" si="36"/>
        <v>75</v>
      </c>
      <c r="C70" s="19"/>
      <c r="D70" s="19">
        <f t="shared" si="15"/>
        <v>75</v>
      </c>
      <c r="E70" s="12">
        <f>'Emission factors'!B41*$E$5</f>
        <v>23</v>
      </c>
      <c r="F70" s="12"/>
      <c r="G70" s="12">
        <f>'Emission factors'!C41*$E$5</f>
        <v>3.3000000000000114</v>
      </c>
      <c r="H70" s="2"/>
      <c r="I70" s="29">
        <f t="shared" ref="I70" si="51">I69*(1+$O$21)</f>
        <v>0</v>
      </c>
      <c r="J70" s="29">
        <v>52.05</v>
      </c>
      <c r="K70" s="29">
        <f t="shared" si="43"/>
        <v>50</v>
      </c>
      <c r="L70" s="29">
        <f t="shared" si="44"/>
        <v>100</v>
      </c>
      <c r="M70" s="2"/>
      <c r="N70" s="2">
        <f t="shared" si="7"/>
        <v>40</v>
      </c>
      <c r="O70" s="64">
        <f t="shared" si="45"/>
        <v>1</v>
      </c>
      <c r="P70" s="8">
        <f t="shared" si="41"/>
        <v>0.14914796641529171</v>
      </c>
    </row>
    <row r="71" spans="1:16" x14ac:dyDescent="0.35">
      <c r="A71" s="2">
        <f t="shared" si="4"/>
        <v>40</v>
      </c>
      <c r="B71" s="19">
        <f t="shared" si="36"/>
        <v>75</v>
      </c>
      <c r="C71" s="19"/>
      <c r="D71" s="19">
        <f t="shared" si="15"/>
        <v>75</v>
      </c>
      <c r="E71" s="12">
        <f>'Emission factors'!B42*$E$5</f>
        <v>23</v>
      </c>
      <c r="F71" s="12"/>
      <c r="G71" s="12">
        <f>'Emission factors'!C42*$E$5</f>
        <v>3.1000000000000227</v>
      </c>
      <c r="H71" s="2"/>
      <c r="I71" s="29">
        <f t="shared" ref="I71" si="52">I70*(1+$O$21)</f>
        <v>0</v>
      </c>
      <c r="J71" s="29">
        <v>52.05</v>
      </c>
      <c r="K71" s="29">
        <f t="shared" si="43"/>
        <v>50</v>
      </c>
      <c r="L71" s="29">
        <f t="shared" si="44"/>
        <v>100</v>
      </c>
      <c r="M71" s="2"/>
      <c r="N71" s="2">
        <f t="shared" si="7"/>
        <v>41</v>
      </c>
      <c r="O71" s="64">
        <f t="shared" si="45"/>
        <v>1</v>
      </c>
      <c r="P71" s="8">
        <f t="shared" si="41"/>
        <v>0.14204568230027784</v>
      </c>
    </row>
    <row r="72" spans="1:16" x14ac:dyDescent="0.35">
      <c r="A72" s="2">
        <f t="shared" si="4"/>
        <v>41</v>
      </c>
      <c r="B72" s="19">
        <f t="shared" si="36"/>
        <v>75</v>
      </c>
      <c r="C72" s="19"/>
      <c r="D72" s="19">
        <f t="shared" si="15"/>
        <v>75</v>
      </c>
      <c r="E72" s="12">
        <f>'Emission factors'!B43*$E$5</f>
        <v>23</v>
      </c>
      <c r="F72" s="12"/>
      <c r="G72" s="12">
        <f>'Emission factors'!C43*$E$5</f>
        <v>2.6999999999999886</v>
      </c>
      <c r="H72" s="2"/>
      <c r="I72" s="29">
        <f t="shared" ref="I72" si="53">I71*(1+$O$21)</f>
        <v>0</v>
      </c>
      <c r="J72" s="29">
        <v>52.05</v>
      </c>
      <c r="K72" s="29">
        <f t="shared" si="43"/>
        <v>50</v>
      </c>
      <c r="L72" s="29">
        <f t="shared" si="44"/>
        <v>100</v>
      </c>
      <c r="M72" s="2"/>
      <c r="N72" s="2">
        <f t="shared" si="7"/>
        <v>42</v>
      </c>
      <c r="O72" s="64">
        <f t="shared" si="45"/>
        <v>1</v>
      </c>
      <c r="P72" s="8">
        <f t="shared" si="41"/>
        <v>0.13528160219074079</v>
      </c>
    </row>
    <row r="73" spans="1:16" x14ac:dyDescent="0.35">
      <c r="A73" s="2">
        <f t="shared" si="4"/>
        <v>42</v>
      </c>
      <c r="B73" s="19">
        <f t="shared" si="36"/>
        <v>75</v>
      </c>
      <c r="C73" s="19"/>
      <c r="D73" s="19">
        <f t="shared" si="15"/>
        <v>75</v>
      </c>
      <c r="E73" s="12">
        <f>'Emission factors'!B44*$E$5</f>
        <v>22</v>
      </c>
      <c r="F73" s="12"/>
      <c r="G73" s="12">
        <f>'Emission factors'!C44*$E$5</f>
        <v>2.5999999999999659</v>
      </c>
      <c r="H73" s="2"/>
      <c r="I73" s="29">
        <f t="shared" ref="I73" si="54">I72*(1+$O$21)</f>
        <v>0</v>
      </c>
      <c r="J73" s="29">
        <v>52.05</v>
      </c>
      <c r="K73" s="29">
        <f t="shared" si="43"/>
        <v>50</v>
      </c>
      <c r="L73" s="29">
        <f t="shared" si="44"/>
        <v>100</v>
      </c>
      <c r="M73" s="2"/>
      <c r="N73" s="2">
        <f t="shared" si="7"/>
        <v>43</v>
      </c>
      <c r="O73" s="64">
        <f t="shared" si="45"/>
        <v>1</v>
      </c>
      <c r="P73" s="8">
        <f t="shared" si="41"/>
        <v>0.12883962113403885</v>
      </c>
    </row>
    <row r="74" spans="1:16" x14ac:dyDescent="0.35">
      <c r="A74" s="2">
        <f t="shared" si="4"/>
        <v>43</v>
      </c>
      <c r="B74" s="19">
        <f t="shared" si="36"/>
        <v>75</v>
      </c>
      <c r="C74" s="19"/>
      <c r="D74" s="19">
        <f t="shared" si="15"/>
        <v>75</v>
      </c>
      <c r="E74" s="12">
        <f>'Emission factors'!B45*$E$5</f>
        <v>22</v>
      </c>
      <c r="F74" s="12"/>
      <c r="G74" s="12">
        <f>'Emission factors'!C45*$E$5</f>
        <v>2.2000000000000455</v>
      </c>
      <c r="H74" s="2"/>
      <c r="I74" s="29">
        <f t="shared" ref="I74" si="55">I73*(1+$O$21)</f>
        <v>0</v>
      </c>
      <c r="J74" s="29">
        <v>52.05</v>
      </c>
      <c r="K74" s="29">
        <f t="shared" si="43"/>
        <v>50</v>
      </c>
      <c r="L74" s="29">
        <f t="shared" si="44"/>
        <v>100</v>
      </c>
      <c r="M74" s="2"/>
      <c r="N74" s="2">
        <f t="shared" si="7"/>
        <v>44</v>
      </c>
      <c r="O74" s="64">
        <f t="shared" si="45"/>
        <v>1</v>
      </c>
      <c r="P74" s="8">
        <f t="shared" si="41"/>
        <v>0.12270440108003698</v>
      </c>
    </row>
    <row r="75" spans="1:16" x14ac:dyDescent="0.35">
      <c r="A75" s="2">
        <f t="shared" si="4"/>
        <v>44</v>
      </c>
      <c r="B75" s="19">
        <f t="shared" si="36"/>
        <v>75</v>
      </c>
      <c r="C75" s="19"/>
      <c r="D75" s="19">
        <f t="shared" si="15"/>
        <v>75</v>
      </c>
      <c r="E75" s="12">
        <f>'Emission factors'!B46*$E$5</f>
        <v>22</v>
      </c>
      <c r="F75" s="12"/>
      <c r="G75" s="12">
        <f>'Emission factors'!C46*$E$5</f>
        <v>2.0999999999999659</v>
      </c>
      <c r="H75" s="2"/>
      <c r="I75" s="29">
        <f t="shared" ref="I75" si="56">I74*(1+$O$21)</f>
        <v>0</v>
      </c>
      <c r="J75" s="29">
        <v>52.05</v>
      </c>
      <c r="K75" s="29">
        <f t="shared" si="43"/>
        <v>50</v>
      </c>
      <c r="L75" s="29">
        <f t="shared" si="44"/>
        <v>100</v>
      </c>
      <c r="M75" s="2"/>
      <c r="N75" s="2">
        <f t="shared" si="7"/>
        <v>45</v>
      </c>
      <c r="O75" s="64">
        <f t="shared" si="45"/>
        <v>1</v>
      </c>
      <c r="P75" s="8">
        <f t="shared" si="41"/>
        <v>0.11686133436193999</v>
      </c>
    </row>
    <row r="76" spans="1:16" x14ac:dyDescent="0.35">
      <c r="A76" s="2">
        <f t="shared" si="4"/>
        <v>45</v>
      </c>
      <c r="B76" s="19">
        <f t="shared" si="36"/>
        <v>75</v>
      </c>
      <c r="C76" s="19"/>
      <c r="D76" s="19">
        <f t="shared" si="15"/>
        <v>75</v>
      </c>
      <c r="E76" s="12">
        <f>'Emission factors'!B47*$E$5</f>
        <v>21</v>
      </c>
      <c r="F76" s="12"/>
      <c r="G76" s="12">
        <f>'Emission factors'!C47*$E$5</f>
        <v>1.8000000000000114</v>
      </c>
      <c r="H76" s="2"/>
      <c r="I76" s="29">
        <f t="shared" ref="I76" si="57">I75*(1+$O$21)</f>
        <v>0</v>
      </c>
      <c r="J76" s="29">
        <v>52.05</v>
      </c>
      <c r="K76" s="29">
        <f t="shared" si="43"/>
        <v>50</v>
      </c>
      <c r="L76" s="29">
        <f t="shared" si="44"/>
        <v>100</v>
      </c>
      <c r="M76" s="2"/>
      <c r="N76" s="2">
        <f t="shared" si="7"/>
        <v>46</v>
      </c>
      <c r="O76" s="64">
        <f t="shared" si="45"/>
        <v>1</v>
      </c>
      <c r="P76" s="8">
        <f t="shared" si="41"/>
        <v>0.1112965089161333</v>
      </c>
    </row>
    <row r="77" spans="1:16" x14ac:dyDescent="0.35">
      <c r="A77" s="2">
        <f t="shared" si="4"/>
        <v>46</v>
      </c>
      <c r="B77" s="19">
        <f t="shared" si="36"/>
        <v>75</v>
      </c>
      <c r="C77" s="19"/>
      <c r="D77" s="19">
        <f t="shared" si="15"/>
        <v>75</v>
      </c>
      <c r="E77" s="12">
        <f>'Emission factors'!B48*$E$5</f>
        <v>21</v>
      </c>
      <c r="F77" s="12"/>
      <c r="G77" s="12">
        <f>'Emission factors'!C48*$E$5</f>
        <v>1.6999999999999886</v>
      </c>
      <c r="H77" s="2"/>
      <c r="I77" s="29">
        <f t="shared" ref="I77" si="58">I76*(1+$O$21)</f>
        <v>0</v>
      </c>
      <c r="J77" s="29">
        <v>52.05</v>
      </c>
      <c r="K77" s="29">
        <f t="shared" si="43"/>
        <v>50</v>
      </c>
      <c r="L77" s="29">
        <f t="shared" si="44"/>
        <v>100</v>
      </c>
      <c r="M77" s="2"/>
      <c r="N77" s="2">
        <f t="shared" si="7"/>
        <v>47</v>
      </c>
      <c r="O77" s="64">
        <f t="shared" si="45"/>
        <v>1</v>
      </c>
      <c r="P77" s="8">
        <f t="shared" si="41"/>
        <v>0.10599667515822221</v>
      </c>
    </row>
    <row r="78" spans="1:16" x14ac:dyDescent="0.35">
      <c r="A78" s="2">
        <f t="shared" si="4"/>
        <v>47</v>
      </c>
      <c r="B78" s="19">
        <f t="shared" si="36"/>
        <v>75</v>
      </c>
      <c r="C78" s="19"/>
      <c r="D78" s="19">
        <f t="shared" si="15"/>
        <v>75</v>
      </c>
      <c r="E78" s="12">
        <f>'Emission factors'!B49*$E$5</f>
        <v>20</v>
      </c>
      <c r="F78" s="12"/>
      <c r="G78" s="12">
        <f>'Emission factors'!C49*$E$5</f>
        <v>1.5</v>
      </c>
      <c r="H78" s="2"/>
      <c r="I78" s="29">
        <f t="shared" ref="I78" si="59">I77*(1+$O$21)</f>
        <v>0</v>
      </c>
      <c r="J78" s="29">
        <v>52.05</v>
      </c>
      <c r="K78" s="29">
        <f t="shared" si="43"/>
        <v>50</v>
      </c>
      <c r="L78" s="29">
        <f t="shared" si="44"/>
        <v>100</v>
      </c>
      <c r="M78" s="2"/>
      <c r="N78" s="2">
        <f t="shared" si="7"/>
        <v>48</v>
      </c>
      <c r="O78" s="64">
        <f t="shared" si="45"/>
        <v>1</v>
      </c>
      <c r="P78" s="8">
        <f t="shared" si="41"/>
        <v>0.10094921443640208</v>
      </c>
    </row>
    <row r="79" spans="1:16" x14ac:dyDescent="0.35">
      <c r="A79" s="2">
        <f t="shared" si="4"/>
        <v>48</v>
      </c>
      <c r="B79" s="19">
        <f t="shared" si="36"/>
        <v>75</v>
      </c>
      <c r="C79" s="19"/>
      <c r="D79" s="19">
        <f t="shared" si="15"/>
        <v>75</v>
      </c>
      <c r="E79" s="12">
        <f>'Emission factors'!B50*$E$5</f>
        <v>21</v>
      </c>
      <c r="F79" s="12"/>
      <c r="G79" s="12">
        <f>'Emission factors'!C50*$E$5</f>
        <v>1.4000000000000341</v>
      </c>
      <c r="H79" s="2"/>
      <c r="I79" s="29">
        <f t="shared" ref="I79" si="60">I78*(1+$O$21)</f>
        <v>0</v>
      </c>
      <c r="J79" s="29">
        <v>52.05</v>
      </c>
      <c r="K79" s="29">
        <f t="shared" si="43"/>
        <v>50</v>
      </c>
      <c r="L79" s="29">
        <f t="shared" si="44"/>
        <v>100</v>
      </c>
      <c r="M79" s="2"/>
      <c r="N79" s="2">
        <f t="shared" si="7"/>
        <v>49</v>
      </c>
      <c r="O79" s="64">
        <f t="shared" si="45"/>
        <v>1</v>
      </c>
      <c r="P79" s="8">
        <f t="shared" si="41"/>
        <v>9.6142108987049613E-2</v>
      </c>
    </row>
    <row r="80" spans="1:16" x14ac:dyDescent="0.35">
      <c r="A80" s="2">
        <f t="shared" si="4"/>
        <v>49</v>
      </c>
      <c r="B80" s="19">
        <f t="shared" si="36"/>
        <v>75</v>
      </c>
      <c r="C80" s="19"/>
      <c r="D80" s="19">
        <f t="shared" si="15"/>
        <v>75</v>
      </c>
      <c r="E80" s="12">
        <f>'Emission factors'!B51*$E$5</f>
        <v>20</v>
      </c>
      <c r="F80" s="12"/>
      <c r="G80" s="12">
        <f>'Emission factors'!C51*$E$5</f>
        <v>1.1999999999999886</v>
      </c>
      <c r="H80" s="2"/>
      <c r="I80" s="29">
        <f t="shared" ref="I80" si="61">I79*(1+$O$21)</f>
        <v>0</v>
      </c>
      <c r="J80" s="29">
        <v>52.05</v>
      </c>
      <c r="K80" s="29">
        <f t="shared" si="43"/>
        <v>50</v>
      </c>
      <c r="L80" s="29">
        <f t="shared" si="44"/>
        <v>100</v>
      </c>
      <c r="M80" s="2"/>
      <c r="N80" s="2">
        <f t="shared" si="7"/>
        <v>50</v>
      </c>
      <c r="O80" s="64">
        <f t="shared" si="45"/>
        <v>1</v>
      </c>
      <c r="P80" s="8">
        <f t="shared" si="41"/>
        <v>9.1563913320999626E-2</v>
      </c>
    </row>
    <row r="81" spans="1:16" x14ac:dyDescent="0.35">
      <c r="A81" s="2">
        <f t="shared" si="4"/>
        <v>50</v>
      </c>
      <c r="B81" s="19">
        <f t="shared" si="36"/>
        <v>75</v>
      </c>
      <c r="C81" s="19"/>
      <c r="D81" s="19">
        <f t="shared" si="15"/>
        <v>75</v>
      </c>
      <c r="E81" s="12">
        <f>'Emission factors'!B52*$E$5</f>
        <v>20</v>
      </c>
      <c r="F81" s="12"/>
      <c r="G81" s="12">
        <f>'Emission factors'!C52*$E$5</f>
        <v>1.0999999999999659</v>
      </c>
      <c r="H81" s="2"/>
      <c r="I81" s="29">
        <f t="shared" ref="I81" si="62">I80*(1+$O$21)</f>
        <v>0</v>
      </c>
      <c r="J81" s="29">
        <v>52.05</v>
      </c>
      <c r="K81" s="29">
        <f t="shared" si="43"/>
        <v>50</v>
      </c>
      <c r="L81" s="29">
        <f t="shared" si="44"/>
        <v>100</v>
      </c>
      <c r="M81" s="2"/>
      <c r="N81" s="2">
        <f t="shared" si="7"/>
        <v>51</v>
      </c>
      <c r="O81" s="64">
        <f t="shared" si="45"/>
        <v>1</v>
      </c>
      <c r="P81" s="61" t="s">
        <v>228</v>
      </c>
    </row>
    <row r="82" spans="1:16" x14ac:dyDescent="0.35">
      <c r="A82" s="2">
        <f t="shared" si="4"/>
        <v>51</v>
      </c>
      <c r="B82" s="19">
        <f t="shared" si="36"/>
        <v>75</v>
      </c>
      <c r="C82" s="19"/>
      <c r="D82" s="19">
        <f t="shared" si="15"/>
        <v>75</v>
      </c>
      <c r="E82" s="12">
        <f>'Emission factors'!B53*$E$5</f>
        <v>0</v>
      </c>
      <c r="F82" s="12"/>
      <c r="G82" s="12">
        <f>'Emission factors'!C53*$E$5</f>
        <v>0</v>
      </c>
      <c r="H82" s="2"/>
      <c r="I82" s="29">
        <f t="shared" ref="I82" si="63">I81*(1+$O$21)</f>
        <v>0</v>
      </c>
      <c r="J82" s="29">
        <v>52.05</v>
      </c>
      <c r="K82" s="29">
        <f t="shared" si="43"/>
        <v>50</v>
      </c>
      <c r="L82" s="29">
        <f t="shared" si="44"/>
        <v>100</v>
      </c>
      <c r="M82" s="2"/>
      <c r="N82" s="2">
        <f t="shared" si="7"/>
        <v>52</v>
      </c>
      <c r="O82" s="64">
        <f t="shared" si="45"/>
        <v>1</v>
      </c>
      <c r="P82" s="33">
        <f t="shared" ref="P82:P113" si="64">($S$19*O31)*$E$5</f>
        <v>652.78600000000006</v>
      </c>
    </row>
    <row r="83" spans="1:16" x14ac:dyDescent="0.35">
      <c r="A83" s="2">
        <f t="shared" si="4"/>
        <v>52</v>
      </c>
      <c r="B83" s="19">
        <f t="shared" si="36"/>
        <v>75</v>
      </c>
      <c r="C83" s="19"/>
      <c r="D83" s="19">
        <f t="shared" si="15"/>
        <v>75</v>
      </c>
      <c r="E83" s="12">
        <f>'Emission factors'!B54*$E$5</f>
        <v>0</v>
      </c>
      <c r="F83" s="12"/>
      <c r="G83" s="12">
        <f>'Emission factors'!C54*$E$5</f>
        <v>0</v>
      </c>
      <c r="H83" s="2"/>
      <c r="I83" s="29">
        <f t="shared" ref="I83" si="65">I82*(1+$O$21)</f>
        <v>0</v>
      </c>
      <c r="J83" s="29">
        <v>52.05</v>
      </c>
      <c r="K83" s="29">
        <f t="shared" si="43"/>
        <v>50</v>
      </c>
      <c r="L83" s="29">
        <f t="shared" si="44"/>
        <v>100</v>
      </c>
      <c r="M83" s="2"/>
      <c r="N83" s="2">
        <f t="shared" si="7"/>
        <v>53</v>
      </c>
      <c r="O83" s="64">
        <f t="shared" si="45"/>
        <v>1</v>
      </c>
      <c r="P83" s="22">
        <f t="shared" si="64"/>
        <v>652.78600000000006</v>
      </c>
    </row>
    <row r="84" spans="1:16" x14ac:dyDescent="0.35">
      <c r="A84" s="2">
        <f t="shared" si="4"/>
        <v>53</v>
      </c>
      <c r="B84" s="19">
        <f t="shared" si="36"/>
        <v>75</v>
      </c>
      <c r="C84" s="19"/>
      <c r="D84" s="19">
        <f t="shared" si="15"/>
        <v>75</v>
      </c>
      <c r="E84" s="12">
        <f>'Emission factors'!B55*$E$5</f>
        <v>0</v>
      </c>
      <c r="F84" s="12"/>
      <c r="G84" s="12">
        <f>'Emission factors'!C55*$E$5</f>
        <v>0</v>
      </c>
      <c r="H84" s="2"/>
      <c r="I84" s="29">
        <f t="shared" ref="I84" si="66">I83*(1+$O$21)</f>
        <v>0</v>
      </c>
      <c r="J84" s="29">
        <v>52.05</v>
      </c>
      <c r="K84" s="29">
        <f t="shared" si="43"/>
        <v>50</v>
      </c>
      <c r="L84" s="29">
        <f t="shared" si="44"/>
        <v>100</v>
      </c>
      <c r="M84" s="2"/>
      <c r="N84" s="2">
        <f t="shared" si="7"/>
        <v>54</v>
      </c>
      <c r="O84" s="64">
        <f t="shared" si="45"/>
        <v>1</v>
      </c>
      <c r="P84" s="22">
        <f t="shared" si="64"/>
        <v>652.78600000000006</v>
      </c>
    </row>
    <row r="85" spans="1:16" x14ac:dyDescent="0.35">
      <c r="A85" s="2">
        <f t="shared" si="4"/>
        <v>54</v>
      </c>
      <c r="B85" s="19">
        <f t="shared" si="36"/>
        <v>75</v>
      </c>
      <c r="C85" s="19"/>
      <c r="D85" s="19">
        <f t="shared" si="15"/>
        <v>75</v>
      </c>
      <c r="E85" s="12">
        <f>'Emission factors'!B56*$E$5</f>
        <v>0</v>
      </c>
      <c r="F85" s="12"/>
      <c r="G85" s="12">
        <f>'Emission factors'!C56*$E$5</f>
        <v>0</v>
      </c>
      <c r="H85" s="2"/>
      <c r="I85" s="29">
        <f t="shared" ref="I85" si="67">I84*(1+$O$21)</f>
        <v>0</v>
      </c>
      <c r="J85" s="29">
        <v>52.05</v>
      </c>
      <c r="K85" s="29">
        <f t="shared" si="43"/>
        <v>50</v>
      </c>
      <c r="L85" s="29">
        <f t="shared" si="44"/>
        <v>100</v>
      </c>
      <c r="M85" s="2"/>
      <c r="N85" s="2">
        <f>N84+1</f>
        <v>55</v>
      </c>
      <c r="O85" s="64">
        <f t="shared" si="45"/>
        <v>1</v>
      </c>
      <c r="P85" s="22">
        <f t="shared" si="64"/>
        <v>652.78600000000006</v>
      </c>
    </row>
    <row r="86" spans="1:16" x14ac:dyDescent="0.35">
      <c r="A86" s="2">
        <f t="shared" si="4"/>
        <v>55</v>
      </c>
      <c r="B86" s="19">
        <f t="shared" si="36"/>
        <v>75</v>
      </c>
      <c r="C86" s="19"/>
      <c r="D86" s="19">
        <f t="shared" si="15"/>
        <v>75</v>
      </c>
      <c r="E86" s="12">
        <f>'Emission factors'!B57*$E$5</f>
        <v>0</v>
      </c>
      <c r="F86" s="12"/>
      <c r="G86" s="12">
        <f>'Emission factors'!C57*$E$5</f>
        <v>0</v>
      </c>
      <c r="H86" s="2"/>
      <c r="I86" s="29">
        <f t="shared" ref="I86" si="68">I85*(1+$O$21)</f>
        <v>0</v>
      </c>
      <c r="J86" s="29">
        <v>52.05</v>
      </c>
      <c r="K86" s="29">
        <f t="shared" si="43"/>
        <v>50</v>
      </c>
      <c r="L86" s="29">
        <f t="shared" si="44"/>
        <v>100</v>
      </c>
      <c r="M86" s="2"/>
      <c r="N86" s="2">
        <f t="shared" si="7"/>
        <v>56</v>
      </c>
      <c r="O86" s="64">
        <f t="shared" si="45"/>
        <v>1</v>
      </c>
      <c r="P86" s="22">
        <f t="shared" si="64"/>
        <v>652.78600000000006</v>
      </c>
    </row>
    <row r="87" spans="1:16" x14ac:dyDescent="0.35">
      <c r="A87" s="2">
        <f t="shared" si="4"/>
        <v>56</v>
      </c>
      <c r="B87" s="19">
        <f t="shared" si="36"/>
        <v>75</v>
      </c>
      <c r="C87" s="19"/>
      <c r="D87" s="19">
        <f t="shared" si="15"/>
        <v>75</v>
      </c>
      <c r="E87" s="12">
        <f>'Emission factors'!B58*$E$5</f>
        <v>0</v>
      </c>
      <c r="F87" s="12"/>
      <c r="G87" s="12">
        <f>'Emission factors'!C58*$E$5</f>
        <v>0</v>
      </c>
      <c r="H87" s="2"/>
      <c r="I87" s="29">
        <f t="shared" ref="I87" si="69">I86*(1+$O$21)</f>
        <v>0</v>
      </c>
      <c r="J87" s="29">
        <v>52.05</v>
      </c>
      <c r="K87" s="29">
        <f t="shared" si="43"/>
        <v>50</v>
      </c>
      <c r="L87" s="29">
        <f t="shared" si="44"/>
        <v>100</v>
      </c>
      <c r="M87" s="2"/>
      <c r="N87" s="2">
        <f t="shared" si="7"/>
        <v>57</v>
      </c>
      <c r="O87" s="64">
        <f t="shared" si="45"/>
        <v>1</v>
      </c>
      <c r="P87" s="22">
        <f t="shared" si="64"/>
        <v>652.78600000000006</v>
      </c>
    </row>
    <row r="88" spans="1:16" x14ac:dyDescent="0.35">
      <c r="A88" s="2">
        <f t="shared" si="4"/>
        <v>57</v>
      </c>
      <c r="B88" s="19">
        <f t="shared" si="36"/>
        <v>75</v>
      </c>
      <c r="C88" s="19"/>
      <c r="D88" s="19">
        <f t="shared" si="15"/>
        <v>75</v>
      </c>
      <c r="E88" s="12">
        <f>'Emission factors'!B59*$E$5</f>
        <v>0</v>
      </c>
      <c r="F88" s="12"/>
      <c r="G88" s="12">
        <f>'Emission factors'!C59*$E$5</f>
        <v>0</v>
      </c>
      <c r="H88" s="2"/>
      <c r="I88" s="29">
        <f t="shared" ref="I88" si="70">I87*(1+$O$21)</f>
        <v>0</v>
      </c>
      <c r="J88" s="29">
        <v>52.05</v>
      </c>
      <c r="K88" s="29">
        <f t="shared" si="43"/>
        <v>50</v>
      </c>
      <c r="L88" s="29">
        <f t="shared" si="44"/>
        <v>100</v>
      </c>
      <c r="M88" s="2"/>
      <c r="N88" s="2">
        <f t="shared" si="7"/>
        <v>58</v>
      </c>
      <c r="O88" s="64">
        <f t="shared" si="45"/>
        <v>1</v>
      </c>
      <c r="P88" s="22">
        <f t="shared" si="64"/>
        <v>652.78600000000006</v>
      </c>
    </row>
    <row r="89" spans="1:16" x14ac:dyDescent="0.35">
      <c r="A89" s="2">
        <f t="shared" si="4"/>
        <v>58</v>
      </c>
      <c r="B89" s="19">
        <f t="shared" si="36"/>
        <v>75</v>
      </c>
      <c r="C89" s="19"/>
      <c r="D89" s="19">
        <f t="shared" si="15"/>
        <v>75</v>
      </c>
      <c r="E89" s="12">
        <f>'Emission factors'!B60*$E$5</f>
        <v>0</v>
      </c>
      <c r="F89" s="12"/>
      <c r="G89" s="12">
        <f>'Emission factors'!C60*$E$5</f>
        <v>0</v>
      </c>
      <c r="H89" s="2"/>
      <c r="I89" s="29">
        <f t="shared" ref="I89" si="71">I88*(1+$O$21)</f>
        <v>0</v>
      </c>
      <c r="J89" s="29">
        <v>52.05</v>
      </c>
      <c r="K89" s="29">
        <f t="shared" si="43"/>
        <v>50</v>
      </c>
      <c r="L89" s="29">
        <f t="shared" si="44"/>
        <v>100</v>
      </c>
      <c r="M89" s="2"/>
      <c r="N89" s="2">
        <f>N88+1</f>
        <v>59</v>
      </c>
      <c r="O89" s="64">
        <f t="shared" si="45"/>
        <v>1</v>
      </c>
      <c r="P89" s="22">
        <f t="shared" si="64"/>
        <v>652.78600000000006</v>
      </c>
    </row>
    <row r="90" spans="1:16" x14ac:dyDescent="0.35">
      <c r="A90" s="2">
        <f t="shared" si="4"/>
        <v>59</v>
      </c>
      <c r="B90" s="19">
        <f t="shared" si="36"/>
        <v>75</v>
      </c>
      <c r="C90" s="19"/>
      <c r="D90" s="19">
        <f t="shared" si="15"/>
        <v>75</v>
      </c>
      <c r="E90" s="12">
        <f>'Emission factors'!B61*$E$5</f>
        <v>0</v>
      </c>
      <c r="F90" s="12"/>
      <c r="G90" s="12">
        <f>'Emission factors'!C61*$E$5</f>
        <v>0</v>
      </c>
      <c r="H90" s="2"/>
      <c r="I90" s="29">
        <f t="shared" ref="I90" si="72">I89*(1+$O$21)</f>
        <v>0</v>
      </c>
      <c r="J90" s="29">
        <v>52.05</v>
      </c>
      <c r="K90" s="29">
        <f t="shared" si="43"/>
        <v>50</v>
      </c>
      <c r="L90" s="29">
        <f t="shared" si="44"/>
        <v>100</v>
      </c>
      <c r="M90" s="2"/>
      <c r="N90" s="2">
        <f t="shared" si="7"/>
        <v>60</v>
      </c>
      <c r="O90" s="64">
        <f t="shared" si="45"/>
        <v>1</v>
      </c>
      <c r="P90" s="22">
        <f t="shared" si="64"/>
        <v>652.78600000000006</v>
      </c>
    </row>
    <row r="91" spans="1:16" x14ac:dyDescent="0.35">
      <c r="A91" s="2"/>
      <c r="B91" s="19"/>
      <c r="C91" s="19"/>
      <c r="D91" s="19"/>
      <c r="E91" s="12"/>
      <c r="F91" s="12"/>
      <c r="G91" s="12">
        <f>'Emission factors'!C62*$E$5</f>
        <v>0</v>
      </c>
      <c r="H91" s="2"/>
      <c r="I91" s="29">
        <f t="shared" ref="I91" si="73">I90*(1+$O$21)</f>
        <v>0</v>
      </c>
      <c r="J91" s="29">
        <v>52.05</v>
      </c>
      <c r="K91" s="29">
        <f t="shared" si="43"/>
        <v>50</v>
      </c>
      <c r="L91" s="29">
        <f t="shared" si="44"/>
        <v>100</v>
      </c>
      <c r="M91" s="2"/>
      <c r="N91" s="2">
        <f t="shared" si="7"/>
        <v>61</v>
      </c>
      <c r="O91" s="64">
        <f t="shared" si="45"/>
        <v>1</v>
      </c>
      <c r="P91" s="22">
        <f t="shared" si="64"/>
        <v>652.78600000000006</v>
      </c>
    </row>
    <row r="92" spans="1:16" x14ac:dyDescent="0.35">
      <c r="A92" s="363" t="s">
        <v>229</v>
      </c>
      <c r="B92" s="364"/>
      <c r="D92" s="19"/>
      <c r="E92" s="12"/>
      <c r="F92" s="12"/>
      <c r="G92" s="12">
        <f>'Emission factors'!C63*$E$5</f>
        <v>0</v>
      </c>
      <c r="H92" s="2"/>
      <c r="I92" s="29">
        <f t="shared" ref="I92" si="74">I91*(1+$O$21)</f>
        <v>0</v>
      </c>
      <c r="J92" s="29">
        <v>52.05</v>
      </c>
      <c r="K92" s="29">
        <f t="shared" si="43"/>
        <v>50</v>
      </c>
      <c r="L92" s="29">
        <f t="shared" si="44"/>
        <v>100</v>
      </c>
      <c r="M92" s="2"/>
      <c r="N92" s="2">
        <f t="shared" si="7"/>
        <v>62</v>
      </c>
      <c r="O92" s="64">
        <f t="shared" si="45"/>
        <v>1</v>
      </c>
      <c r="P92" s="22">
        <f t="shared" si="64"/>
        <v>652.78600000000006</v>
      </c>
    </row>
    <row r="93" spans="1:16" x14ac:dyDescent="0.35">
      <c r="A93" s="56" t="s">
        <v>230</v>
      </c>
      <c r="B93" s="115" t="s">
        <v>156</v>
      </c>
      <c r="D93" s="19"/>
      <c r="E93" s="12"/>
      <c r="F93" s="12"/>
      <c r="G93" s="12">
        <f>'Emission factors'!C64*$E$5</f>
        <v>0</v>
      </c>
      <c r="H93" s="2"/>
      <c r="I93" s="29">
        <f t="shared" ref="I93" si="75">I92*(1+$O$21)</f>
        <v>0</v>
      </c>
      <c r="J93" s="29">
        <v>52.05</v>
      </c>
      <c r="K93" s="29">
        <f t="shared" si="43"/>
        <v>50</v>
      </c>
      <c r="L93" s="29">
        <f t="shared" si="44"/>
        <v>100</v>
      </c>
      <c r="M93" s="2"/>
      <c r="N93" s="2">
        <f t="shared" si="7"/>
        <v>63</v>
      </c>
      <c r="O93" s="64">
        <f t="shared" si="45"/>
        <v>1</v>
      </c>
      <c r="P93" s="22">
        <f t="shared" si="64"/>
        <v>652.78600000000006</v>
      </c>
    </row>
    <row r="94" spans="1:16" x14ac:dyDescent="0.35">
      <c r="A94" s="58"/>
      <c r="B94" s="115" t="s">
        <v>174</v>
      </c>
      <c r="D94" s="19"/>
      <c r="E94" s="12"/>
      <c r="F94" s="12"/>
      <c r="G94" s="12">
        <f>'Emission factors'!C65*$E$5</f>
        <v>0</v>
      </c>
      <c r="H94" s="2"/>
      <c r="I94" s="29">
        <f t="shared" ref="I94" si="76">I93*(1+$O$21)</f>
        <v>0</v>
      </c>
      <c r="J94" s="29">
        <v>52.05</v>
      </c>
      <c r="K94" s="29">
        <f t="shared" si="43"/>
        <v>50</v>
      </c>
      <c r="L94" s="29">
        <f t="shared" si="44"/>
        <v>100</v>
      </c>
      <c r="M94" s="2"/>
      <c r="N94" s="2">
        <f t="shared" si="7"/>
        <v>64</v>
      </c>
      <c r="O94" s="64">
        <f t="shared" si="45"/>
        <v>1</v>
      </c>
      <c r="P94" s="22">
        <f t="shared" si="64"/>
        <v>652.78600000000006</v>
      </c>
    </row>
    <row r="95" spans="1:16" x14ac:dyDescent="0.35">
      <c r="A95" s="58"/>
      <c r="B95" s="115" t="s">
        <v>175</v>
      </c>
      <c r="D95" s="19"/>
      <c r="E95" s="12"/>
      <c r="F95" s="12"/>
      <c r="G95" s="12">
        <f>'Emission factors'!C66*$E$5</f>
        <v>0</v>
      </c>
      <c r="H95" s="2"/>
      <c r="I95" s="29">
        <f t="shared" ref="I95" si="77">I94*(1+$O$21)</f>
        <v>0</v>
      </c>
      <c r="J95" s="29">
        <v>52.05</v>
      </c>
      <c r="K95" s="29">
        <f t="shared" si="43"/>
        <v>50</v>
      </c>
      <c r="L95" s="29">
        <f t="shared" si="44"/>
        <v>100</v>
      </c>
      <c r="M95" s="2"/>
      <c r="N95" s="2">
        <f t="shared" si="7"/>
        <v>65</v>
      </c>
      <c r="O95" s="64">
        <f t="shared" si="45"/>
        <v>1</v>
      </c>
      <c r="P95" s="22">
        <f t="shared" si="64"/>
        <v>652.78600000000006</v>
      </c>
    </row>
    <row r="96" spans="1:16" x14ac:dyDescent="0.35">
      <c r="A96" s="58"/>
      <c r="B96" s="115" t="s">
        <v>176</v>
      </c>
      <c r="D96" s="19"/>
      <c r="E96" s="12"/>
      <c r="F96" s="12"/>
      <c r="G96" s="12">
        <f>'Emission factors'!C67*$E$5</f>
        <v>0</v>
      </c>
      <c r="H96" s="2"/>
      <c r="I96" s="29">
        <f t="shared" ref="I96" si="78">I95*(1+$O$21)</f>
        <v>0</v>
      </c>
      <c r="J96" s="29">
        <v>52.05</v>
      </c>
      <c r="K96" s="29">
        <f t="shared" ref="K96:K127" si="79">K95*(1+$O$21)</f>
        <v>50</v>
      </c>
      <c r="L96" s="29">
        <f t="shared" ref="L96:L127" si="80">L$31*O96</f>
        <v>100</v>
      </c>
      <c r="M96" s="2"/>
      <c r="N96" s="2">
        <f t="shared" si="7"/>
        <v>66</v>
      </c>
      <c r="O96" s="64">
        <f t="shared" ref="O96:O127" si="81">$O95*(1+$O$21)</f>
        <v>1</v>
      </c>
      <c r="P96" s="22">
        <f t="shared" si="64"/>
        <v>652.78600000000006</v>
      </c>
    </row>
    <row r="97" spans="1:16" x14ac:dyDescent="0.35">
      <c r="A97" s="58"/>
      <c r="B97" s="115" t="s">
        <v>177</v>
      </c>
      <c r="D97" s="19"/>
      <c r="E97" s="12"/>
      <c r="F97" s="12"/>
      <c r="G97" s="12">
        <f>'Emission factors'!C68*$E$5</f>
        <v>0</v>
      </c>
      <c r="H97" s="2"/>
      <c r="I97" s="29">
        <f t="shared" ref="I97" si="82">I96*(1+$O$21)</f>
        <v>0</v>
      </c>
      <c r="J97" s="29">
        <v>52.05</v>
      </c>
      <c r="K97" s="29">
        <f t="shared" si="79"/>
        <v>50</v>
      </c>
      <c r="L97" s="29">
        <f t="shared" si="80"/>
        <v>100</v>
      </c>
      <c r="M97" s="2"/>
      <c r="N97" s="2">
        <f t="shared" ref="N97:N160" si="83">N96+1</f>
        <v>67</v>
      </c>
      <c r="O97" s="64">
        <f t="shared" si="81"/>
        <v>1</v>
      </c>
      <c r="P97" s="22">
        <f t="shared" si="64"/>
        <v>652.78600000000006</v>
      </c>
    </row>
    <row r="98" spans="1:16" x14ac:dyDescent="0.35">
      <c r="A98" s="56" t="s">
        <v>231</v>
      </c>
      <c r="B98" s="115" t="s">
        <v>125</v>
      </c>
      <c r="D98" s="19"/>
      <c r="E98" s="12"/>
      <c r="F98" s="12"/>
      <c r="G98" s="12">
        <f>'Emission factors'!C69*$E$5</f>
        <v>0</v>
      </c>
      <c r="H98" s="2"/>
      <c r="I98" s="29">
        <f t="shared" ref="I98" si="84">I97*(1+$O$21)</f>
        <v>0</v>
      </c>
      <c r="J98" s="29">
        <v>52.05</v>
      </c>
      <c r="K98" s="29">
        <f t="shared" si="79"/>
        <v>50</v>
      </c>
      <c r="L98" s="29">
        <f t="shared" si="80"/>
        <v>100</v>
      </c>
      <c r="M98" s="2"/>
      <c r="N98" s="2">
        <f t="shared" si="83"/>
        <v>68</v>
      </c>
      <c r="O98" s="64">
        <f t="shared" si="81"/>
        <v>1</v>
      </c>
      <c r="P98" s="22">
        <f t="shared" si="64"/>
        <v>652.78600000000006</v>
      </c>
    </row>
    <row r="99" spans="1:16" x14ac:dyDescent="0.35">
      <c r="A99" s="58"/>
      <c r="B99" s="115" t="s">
        <v>127</v>
      </c>
      <c r="D99" s="19"/>
      <c r="E99" s="12"/>
      <c r="F99" s="12"/>
      <c r="G99" s="12">
        <f>'Emission factors'!C70*$E$5</f>
        <v>0</v>
      </c>
      <c r="H99" s="2"/>
      <c r="I99" s="29">
        <f t="shared" ref="I99" si="85">I98*(1+$O$21)</f>
        <v>0</v>
      </c>
      <c r="J99" s="29">
        <v>52.05</v>
      </c>
      <c r="K99" s="29">
        <f t="shared" si="79"/>
        <v>50</v>
      </c>
      <c r="L99" s="29">
        <f t="shared" si="80"/>
        <v>100</v>
      </c>
      <c r="M99" s="2"/>
      <c r="N99" s="2">
        <f t="shared" si="83"/>
        <v>69</v>
      </c>
      <c r="O99" s="64">
        <f t="shared" si="81"/>
        <v>1</v>
      </c>
      <c r="P99" s="22">
        <f t="shared" si="64"/>
        <v>652.78600000000006</v>
      </c>
    </row>
    <row r="100" spans="1:16" x14ac:dyDescent="0.35">
      <c r="A100" s="57"/>
      <c r="B100" s="115" t="s">
        <v>130</v>
      </c>
      <c r="D100" s="19"/>
      <c r="E100" s="12"/>
      <c r="F100" s="12"/>
      <c r="G100" s="12">
        <f>'Emission factors'!C71*$E$5</f>
        <v>0</v>
      </c>
      <c r="H100" s="2"/>
      <c r="I100" s="29">
        <f t="shared" ref="I100" si="86">I99*(1+$O$21)</f>
        <v>0</v>
      </c>
      <c r="J100" s="29">
        <v>52.05</v>
      </c>
      <c r="K100" s="29">
        <f t="shared" si="79"/>
        <v>50</v>
      </c>
      <c r="L100" s="29">
        <f t="shared" si="80"/>
        <v>100</v>
      </c>
      <c r="M100" s="2"/>
      <c r="N100" s="2">
        <f t="shared" si="83"/>
        <v>70</v>
      </c>
      <c r="O100" s="64">
        <f t="shared" si="81"/>
        <v>1</v>
      </c>
      <c r="P100" s="22">
        <f t="shared" si="64"/>
        <v>652.78600000000006</v>
      </c>
    </row>
    <row r="101" spans="1:16" x14ac:dyDescent="0.35">
      <c r="A101" s="56" t="s">
        <v>232</v>
      </c>
      <c r="B101" s="37" t="s">
        <v>233</v>
      </c>
      <c r="D101" s="19"/>
      <c r="E101" s="12"/>
      <c r="F101" s="12"/>
      <c r="G101" s="12">
        <f>'Emission factors'!C72*$E$5</f>
        <v>0</v>
      </c>
      <c r="H101" s="2"/>
      <c r="I101" s="29">
        <f t="shared" ref="I101" si="87">I100*(1+$O$21)</f>
        <v>0</v>
      </c>
      <c r="J101" s="29">
        <v>52.05</v>
      </c>
      <c r="K101" s="29">
        <f t="shared" si="79"/>
        <v>50</v>
      </c>
      <c r="L101" s="29">
        <f t="shared" si="80"/>
        <v>100</v>
      </c>
      <c r="M101" s="2"/>
      <c r="N101" s="2">
        <f t="shared" si="83"/>
        <v>71</v>
      </c>
      <c r="O101" s="64">
        <f t="shared" si="81"/>
        <v>1</v>
      </c>
      <c r="P101" s="22">
        <f t="shared" si="64"/>
        <v>652.78600000000006</v>
      </c>
    </row>
    <row r="102" spans="1:16" x14ac:dyDescent="0.35">
      <c r="B102" s="37" t="s">
        <v>234</v>
      </c>
      <c r="D102" s="19"/>
      <c r="E102" s="12"/>
      <c r="F102" s="12"/>
      <c r="G102" s="12">
        <f>'Emission factors'!C73*$E$5</f>
        <v>0</v>
      </c>
      <c r="H102" s="2"/>
      <c r="I102" s="29">
        <f t="shared" ref="I102" si="88">I101*(1+$O$21)</f>
        <v>0</v>
      </c>
      <c r="J102" s="29">
        <v>52.05</v>
      </c>
      <c r="K102" s="29">
        <f t="shared" si="79"/>
        <v>50</v>
      </c>
      <c r="L102" s="29">
        <f t="shared" si="80"/>
        <v>100</v>
      </c>
      <c r="M102" s="2"/>
      <c r="N102" s="2">
        <f t="shared" si="83"/>
        <v>72</v>
      </c>
      <c r="O102" s="64">
        <f t="shared" si="81"/>
        <v>1</v>
      </c>
      <c r="P102" s="22">
        <f t="shared" si="64"/>
        <v>652.78600000000006</v>
      </c>
    </row>
    <row r="103" spans="1:16" x14ac:dyDescent="0.35">
      <c r="B103" s="37" t="s">
        <v>235</v>
      </c>
      <c r="D103" s="19"/>
      <c r="E103" s="12"/>
      <c r="F103" s="12"/>
      <c r="G103" s="12">
        <f>'Emission factors'!C74*$E$5</f>
        <v>0</v>
      </c>
      <c r="H103" s="2"/>
      <c r="I103" s="29">
        <f t="shared" ref="I103" si="89">I102*(1+$O$21)</f>
        <v>0</v>
      </c>
      <c r="J103" s="29">
        <v>52.05</v>
      </c>
      <c r="K103" s="29">
        <f t="shared" si="79"/>
        <v>50</v>
      </c>
      <c r="L103" s="29">
        <f t="shared" si="80"/>
        <v>100</v>
      </c>
      <c r="M103" s="2"/>
      <c r="N103" s="2">
        <f t="shared" si="83"/>
        <v>73</v>
      </c>
      <c r="O103" s="64">
        <f t="shared" si="81"/>
        <v>1</v>
      </c>
      <c r="P103" s="22">
        <f t="shared" si="64"/>
        <v>652.78600000000006</v>
      </c>
    </row>
    <row r="104" spans="1:16" x14ac:dyDescent="0.35">
      <c r="A104" s="56" t="s">
        <v>236</v>
      </c>
      <c r="B104" s="37" t="s">
        <v>211</v>
      </c>
      <c r="D104" s="19"/>
      <c r="E104" s="12"/>
      <c r="F104" s="12"/>
      <c r="G104" s="12">
        <f>'Emission factors'!C75*$E$5</f>
        <v>0</v>
      </c>
      <c r="H104" s="2"/>
      <c r="I104" s="29">
        <f t="shared" ref="I104" si="90">I103*(1+$O$21)</f>
        <v>0</v>
      </c>
      <c r="J104" s="29">
        <v>52.05</v>
      </c>
      <c r="K104" s="29">
        <f t="shared" si="79"/>
        <v>50</v>
      </c>
      <c r="L104" s="29">
        <f t="shared" si="80"/>
        <v>100</v>
      </c>
      <c r="M104" s="2"/>
      <c r="N104" s="2">
        <f t="shared" si="83"/>
        <v>74</v>
      </c>
      <c r="O104" s="64">
        <f t="shared" si="81"/>
        <v>1</v>
      </c>
      <c r="P104" s="22">
        <f t="shared" si="64"/>
        <v>652.78600000000006</v>
      </c>
    </row>
    <row r="105" spans="1:16" x14ac:dyDescent="0.35">
      <c r="B105" s="37" t="s">
        <v>149</v>
      </c>
      <c r="D105" s="19"/>
      <c r="E105" s="12"/>
      <c r="F105" s="12"/>
      <c r="G105" s="12">
        <f>'Emission factors'!C76*$E$5</f>
        <v>0</v>
      </c>
      <c r="H105" s="2"/>
      <c r="I105" s="29">
        <f t="shared" ref="I105" si="91">I104*(1+$O$21)</f>
        <v>0</v>
      </c>
      <c r="J105" s="29">
        <v>52.05</v>
      </c>
      <c r="K105" s="29">
        <f t="shared" si="79"/>
        <v>50</v>
      </c>
      <c r="L105" s="29">
        <f t="shared" si="80"/>
        <v>100</v>
      </c>
      <c r="M105" s="2"/>
      <c r="N105" s="2">
        <f t="shared" si="83"/>
        <v>75</v>
      </c>
      <c r="O105" s="64">
        <f t="shared" si="81"/>
        <v>1</v>
      </c>
      <c r="P105" s="22">
        <f t="shared" si="64"/>
        <v>652.78600000000006</v>
      </c>
    </row>
    <row r="106" spans="1:16" x14ac:dyDescent="0.35">
      <c r="B106" s="37" t="s">
        <v>237</v>
      </c>
      <c r="D106" s="19"/>
      <c r="E106" s="12"/>
      <c r="F106" s="12"/>
      <c r="G106" s="12">
        <f>'Emission factors'!C77*$E$5</f>
        <v>0</v>
      </c>
      <c r="H106" s="2"/>
      <c r="I106" s="29">
        <f t="shared" ref="I106" si="92">I105*(1+$O$21)</f>
        <v>0</v>
      </c>
      <c r="J106" s="29">
        <v>52.05</v>
      </c>
      <c r="K106" s="29">
        <f t="shared" si="79"/>
        <v>50</v>
      </c>
      <c r="L106" s="29">
        <f t="shared" si="80"/>
        <v>100</v>
      </c>
      <c r="M106" s="2"/>
      <c r="N106" s="2">
        <f t="shared" si="83"/>
        <v>76</v>
      </c>
      <c r="O106" s="64">
        <f t="shared" si="81"/>
        <v>1</v>
      </c>
      <c r="P106" s="22">
        <f t="shared" si="64"/>
        <v>652.78600000000006</v>
      </c>
    </row>
    <row r="107" spans="1:16" x14ac:dyDescent="0.35">
      <c r="A107" s="57"/>
      <c r="B107" s="37" t="s">
        <v>151</v>
      </c>
      <c r="D107" s="19"/>
      <c r="E107" s="12"/>
      <c r="F107" s="12"/>
      <c r="G107" s="12">
        <f>'Emission factors'!C78*$E$5</f>
        <v>0</v>
      </c>
      <c r="H107" s="2"/>
      <c r="I107" s="29">
        <f t="shared" ref="I107" si="93">I106*(1+$O$21)</f>
        <v>0</v>
      </c>
      <c r="J107" s="29">
        <v>52.05</v>
      </c>
      <c r="K107" s="29">
        <f t="shared" si="79"/>
        <v>50</v>
      </c>
      <c r="L107" s="29">
        <f t="shared" si="80"/>
        <v>100</v>
      </c>
      <c r="M107" s="2"/>
      <c r="N107" s="2">
        <f t="shared" si="83"/>
        <v>77</v>
      </c>
      <c r="O107" s="64">
        <f t="shared" si="81"/>
        <v>1</v>
      </c>
      <c r="P107" s="22">
        <f t="shared" si="64"/>
        <v>652.78600000000006</v>
      </c>
    </row>
    <row r="108" spans="1:16" x14ac:dyDescent="0.35">
      <c r="A108" s="56" t="s">
        <v>145</v>
      </c>
      <c r="B108" s="37" t="s">
        <v>238</v>
      </c>
      <c r="D108" s="19"/>
      <c r="E108" s="12"/>
      <c r="F108" s="12"/>
      <c r="G108" s="12">
        <f>'Emission factors'!C79*$E$5</f>
        <v>0</v>
      </c>
      <c r="H108" s="2"/>
      <c r="I108" s="29">
        <f t="shared" ref="I108" si="94">I107*(1+$O$21)</f>
        <v>0</v>
      </c>
      <c r="J108" s="29">
        <v>52.05</v>
      </c>
      <c r="K108" s="29">
        <f t="shared" si="79"/>
        <v>50</v>
      </c>
      <c r="L108" s="29">
        <f t="shared" si="80"/>
        <v>100</v>
      </c>
      <c r="M108" s="2"/>
      <c r="N108" s="2">
        <f t="shared" si="83"/>
        <v>78</v>
      </c>
      <c r="O108" s="64">
        <f t="shared" si="81"/>
        <v>1</v>
      </c>
      <c r="P108" s="22">
        <f t="shared" si="64"/>
        <v>652.78600000000006</v>
      </c>
    </row>
    <row r="109" spans="1:16" x14ac:dyDescent="0.35">
      <c r="A109" s="57"/>
      <c r="B109" s="37" t="s">
        <v>211</v>
      </c>
      <c r="D109" s="19"/>
      <c r="E109" s="12"/>
      <c r="F109" s="12"/>
      <c r="G109" s="12">
        <f>'Emission factors'!C80*$E$5</f>
        <v>0</v>
      </c>
      <c r="H109" s="2"/>
      <c r="I109" s="29">
        <f t="shared" ref="I109" si="95">I108*(1+$O$21)</f>
        <v>0</v>
      </c>
      <c r="J109" s="29">
        <v>52.05</v>
      </c>
      <c r="K109" s="29">
        <f t="shared" si="79"/>
        <v>50</v>
      </c>
      <c r="L109" s="29">
        <f t="shared" si="80"/>
        <v>100</v>
      </c>
      <c r="M109" s="2"/>
      <c r="N109" s="2">
        <f t="shared" si="83"/>
        <v>79</v>
      </c>
      <c r="O109" s="64">
        <f t="shared" si="81"/>
        <v>1</v>
      </c>
      <c r="P109" s="22">
        <f t="shared" si="64"/>
        <v>652.78600000000006</v>
      </c>
    </row>
    <row r="110" spans="1:16" x14ac:dyDescent="0.35">
      <c r="A110" s="126" t="s">
        <v>239</v>
      </c>
      <c r="B110" s="56" t="s">
        <v>240</v>
      </c>
      <c r="D110" s="19"/>
      <c r="E110" s="12"/>
      <c r="F110" s="12"/>
      <c r="G110" s="12">
        <f>'Emission factors'!C81*$E$5</f>
        <v>0</v>
      </c>
      <c r="H110" s="2"/>
      <c r="I110" s="29">
        <f t="shared" ref="I110" si="96">I109*(1+$O$21)</f>
        <v>0</v>
      </c>
      <c r="J110" s="29">
        <v>52.05</v>
      </c>
      <c r="K110" s="29">
        <f t="shared" si="79"/>
        <v>50</v>
      </c>
      <c r="L110" s="29">
        <f t="shared" si="80"/>
        <v>100</v>
      </c>
      <c r="M110" s="2"/>
      <c r="N110" s="2">
        <f t="shared" si="83"/>
        <v>80</v>
      </c>
      <c r="O110" s="64">
        <f t="shared" si="81"/>
        <v>1</v>
      </c>
      <c r="P110" s="22">
        <f t="shared" si="64"/>
        <v>652.78600000000006</v>
      </c>
    </row>
    <row r="111" spans="1:16" x14ac:dyDescent="0.35">
      <c r="A111" s="127"/>
      <c r="B111" s="58" t="s">
        <v>209</v>
      </c>
      <c r="D111" s="19"/>
      <c r="E111" s="12"/>
      <c r="F111" s="12"/>
      <c r="G111" s="12">
        <f>'Emission factors'!C82*$E$5</f>
        <v>0</v>
      </c>
      <c r="H111" s="2"/>
      <c r="I111" s="29">
        <f t="shared" ref="I111" si="97">I110*(1+$O$21)</f>
        <v>0</v>
      </c>
      <c r="J111" s="29">
        <v>52.05</v>
      </c>
      <c r="K111" s="29">
        <f t="shared" si="79"/>
        <v>50</v>
      </c>
      <c r="L111" s="29">
        <f t="shared" si="80"/>
        <v>100</v>
      </c>
      <c r="M111" s="2"/>
      <c r="N111" s="2">
        <f t="shared" si="83"/>
        <v>81</v>
      </c>
      <c r="O111" s="64">
        <f t="shared" si="81"/>
        <v>1</v>
      </c>
      <c r="P111" s="22">
        <f t="shared" si="64"/>
        <v>652.78600000000006</v>
      </c>
    </row>
    <row r="112" spans="1:16" x14ac:dyDescent="0.35">
      <c r="A112" s="128"/>
      <c r="B112" s="140">
        <v>0</v>
      </c>
      <c r="D112" s="19"/>
      <c r="E112" s="12"/>
      <c r="F112" s="12"/>
      <c r="G112" s="12">
        <f>'Emission factors'!C83*$E$5</f>
        <v>0</v>
      </c>
      <c r="H112" s="2"/>
      <c r="I112" s="29">
        <f t="shared" ref="I112" si="98">I111*(1+$O$21)</f>
        <v>0</v>
      </c>
      <c r="J112" s="29">
        <v>52.05</v>
      </c>
      <c r="K112" s="29">
        <f t="shared" si="79"/>
        <v>50</v>
      </c>
      <c r="L112" s="29">
        <f t="shared" si="80"/>
        <v>100</v>
      </c>
      <c r="M112" s="2"/>
      <c r="N112" s="2">
        <f t="shared" si="83"/>
        <v>82</v>
      </c>
      <c r="O112" s="64">
        <f t="shared" si="81"/>
        <v>1</v>
      </c>
      <c r="P112" s="22">
        <f t="shared" si="64"/>
        <v>652.78600000000006</v>
      </c>
    </row>
    <row r="113" spans="1:16" x14ac:dyDescent="0.35">
      <c r="A113" s="56" t="s">
        <v>241</v>
      </c>
      <c r="B113" s="137" t="s">
        <v>149</v>
      </c>
      <c r="D113" s="19"/>
      <c r="E113" s="12"/>
      <c r="F113" s="12"/>
      <c r="G113" s="12">
        <f>'Emission factors'!C84*$E$5</f>
        <v>0</v>
      </c>
      <c r="H113" s="2"/>
      <c r="I113" s="29">
        <f t="shared" ref="I113" si="99">I112*(1+$O$21)</f>
        <v>0</v>
      </c>
      <c r="J113" s="29">
        <v>52.05</v>
      </c>
      <c r="K113" s="29">
        <f t="shared" si="79"/>
        <v>50</v>
      </c>
      <c r="L113" s="29">
        <f t="shared" si="80"/>
        <v>100</v>
      </c>
      <c r="M113" s="2"/>
      <c r="N113" s="2">
        <f t="shared" si="83"/>
        <v>83</v>
      </c>
      <c r="O113" s="64">
        <f t="shared" si="81"/>
        <v>1</v>
      </c>
      <c r="P113" s="22">
        <f t="shared" si="64"/>
        <v>652.78600000000006</v>
      </c>
    </row>
    <row r="114" spans="1:16" x14ac:dyDescent="0.35">
      <c r="A114" s="58"/>
      <c r="B114" s="138" t="s">
        <v>242</v>
      </c>
      <c r="D114" s="19"/>
      <c r="E114" s="12"/>
      <c r="F114" s="12"/>
      <c r="G114" s="12">
        <f>'Emission factors'!C85*$E$5</f>
        <v>0</v>
      </c>
      <c r="H114" s="2"/>
      <c r="I114" s="29">
        <f t="shared" ref="I114" si="100">I113*(1+$O$21)</f>
        <v>0</v>
      </c>
      <c r="J114" s="29">
        <v>52.05</v>
      </c>
      <c r="K114" s="29">
        <f t="shared" si="79"/>
        <v>50</v>
      </c>
      <c r="L114" s="29">
        <f t="shared" si="80"/>
        <v>100</v>
      </c>
      <c r="M114" s="2"/>
      <c r="N114" s="2">
        <f t="shared" si="83"/>
        <v>84</v>
      </c>
      <c r="O114" s="64">
        <f t="shared" si="81"/>
        <v>1</v>
      </c>
      <c r="P114" s="22">
        <f t="shared" ref="P114:P131" si="101">($S$19*O63)*$E$5</f>
        <v>652.78600000000006</v>
      </c>
    </row>
    <row r="115" spans="1:16" x14ac:dyDescent="0.35">
      <c r="A115" s="57"/>
      <c r="B115" s="139" t="s">
        <v>151</v>
      </c>
      <c r="D115" s="19"/>
      <c r="E115" s="12"/>
      <c r="F115" s="12"/>
      <c r="G115" s="12">
        <f>'Emission factors'!C86*$E$5</f>
        <v>0</v>
      </c>
      <c r="H115" s="2"/>
      <c r="I115" s="29">
        <f t="shared" ref="I115" si="102">I114*(1+$O$21)</f>
        <v>0</v>
      </c>
      <c r="J115" s="29">
        <v>52.05</v>
      </c>
      <c r="K115" s="29">
        <f t="shared" si="79"/>
        <v>50</v>
      </c>
      <c r="L115" s="29">
        <f t="shared" si="80"/>
        <v>100</v>
      </c>
      <c r="M115" s="2"/>
      <c r="N115" s="2">
        <f t="shared" si="83"/>
        <v>85</v>
      </c>
      <c r="O115" s="64">
        <f t="shared" si="81"/>
        <v>1</v>
      </c>
      <c r="P115" s="22">
        <f t="shared" si="101"/>
        <v>652.78600000000006</v>
      </c>
    </row>
    <row r="116" spans="1:16" x14ac:dyDescent="0.35">
      <c r="D116" s="19"/>
      <c r="E116" s="12"/>
      <c r="F116" s="12"/>
      <c r="G116" s="12">
        <f>'Emission factors'!C87*$E$5</f>
        <v>0</v>
      </c>
      <c r="H116" s="2"/>
      <c r="I116" s="29">
        <f t="shared" ref="I116" si="103">I115*(1+$O$21)</f>
        <v>0</v>
      </c>
      <c r="J116" s="29">
        <v>52.05</v>
      </c>
      <c r="K116" s="29">
        <f t="shared" si="79"/>
        <v>50</v>
      </c>
      <c r="L116" s="29">
        <f t="shared" si="80"/>
        <v>100</v>
      </c>
      <c r="M116" s="2"/>
      <c r="N116" s="2">
        <f t="shared" si="83"/>
        <v>86</v>
      </c>
      <c r="O116" s="64">
        <f t="shared" si="81"/>
        <v>1</v>
      </c>
      <c r="P116" s="22">
        <f t="shared" si="101"/>
        <v>652.78600000000006</v>
      </c>
    </row>
    <row r="117" spans="1:16" x14ac:dyDescent="0.35">
      <c r="D117" s="19"/>
      <c r="E117" s="12"/>
      <c r="F117" s="12"/>
      <c r="G117" s="12">
        <f>'Emission factors'!C88*$E$5</f>
        <v>0</v>
      </c>
      <c r="H117" s="2"/>
      <c r="I117" s="29">
        <f t="shared" ref="I117" si="104">I116*(1+$O$21)</f>
        <v>0</v>
      </c>
      <c r="J117" s="29">
        <v>52.05</v>
      </c>
      <c r="K117" s="29">
        <f t="shared" si="79"/>
        <v>50</v>
      </c>
      <c r="L117" s="29">
        <f t="shared" si="80"/>
        <v>100</v>
      </c>
      <c r="M117" s="2"/>
      <c r="N117" s="2">
        <f t="shared" si="83"/>
        <v>87</v>
      </c>
      <c r="O117" s="64">
        <f t="shared" si="81"/>
        <v>1</v>
      </c>
      <c r="P117" s="22">
        <f t="shared" si="101"/>
        <v>652.78600000000006</v>
      </c>
    </row>
    <row r="118" spans="1:16" x14ac:dyDescent="0.35">
      <c r="D118" s="19"/>
      <c r="E118" s="12"/>
      <c r="F118" s="12"/>
      <c r="G118" s="12">
        <f>'Emission factors'!C89*$E$5</f>
        <v>0</v>
      </c>
      <c r="H118" s="2"/>
      <c r="I118" s="29">
        <f t="shared" ref="I118" si="105">I117*(1+$O$21)</f>
        <v>0</v>
      </c>
      <c r="J118" s="29">
        <v>52.05</v>
      </c>
      <c r="K118" s="29">
        <f t="shared" si="79"/>
        <v>50</v>
      </c>
      <c r="L118" s="29">
        <f t="shared" si="80"/>
        <v>100</v>
      </c>
      <c r="M118" s="2"/>
      <c r="N118" s="2">
        <f t="shared" si="83"/>
        <v>88</v>
      </c>
      <c r="O118" s="64">
        <f t="shared" si="81"/>
        <v>1</v>
      </c>
      <c r="P118" s="22">
        <f t="shared" si="101"/>
        <v>652.78600000000006</v>
      </c>
    </row>
    <row r="119" spans="1:16" x14ac:dyDescent="0.35">
      <c r="D119" s="19"/>
      <c r="E119" s="12"/>
      <c r="F119" s="12"/>
      <c r="G119" s="12">
        <f>'Emission factors'!C90*$E$5</f>
        <v>0</v>
      </c>
      <c r="H119" s="2"/>
      <c r="I119" s="29">
        <f t="shared" ref="I119" si="106">I118*(1+$O$21)</f>
        <v>0</v>
      </c>
      <c r="J119" s="29">
        <v>52.05</v>
      </c>
      <c r="K119" s="29">
        <f t="shared" si="79"/>
        <v>50</v>
      </c>
      <c r="L119" s="29">
        <f t="shared" si="80"/>
        <v>100</v>
      </c>
      <c r="M119" s="2"/>
      <c r="N119" s="2">
        <f t="shared" si="83"/>
        <v>89</v>
      </c>
      <c r="O119" s="64">
        <f t="shared" si="81"/>
        <v>1</v>
      </c>
      <c r="P119" s="22">
        <f t="shared" si="101"/>
        <v>652.78600000000006</v>
      </c>
    </row>
    <row r="120" spans="1:16" x14ac:dyDescent="0.35">
      <c r="D120" s="19"/>
      <c r="E120" s="12"/>
      <c r="F120" s="12"/>
      <c r="G120" s="12">
        <f>'Emission factors'!C91*$E$5</f>
        <v>0</v>
      </c>
      <c r="H120" s="2"/>
      <c r="I120" s="29">
        <f t="shared" ref="I120" si="107">I119*(1+$O$21)</f>
        <v>0</v>
      </c>
      <c r="J120" s="29">
        <v>52.05</v>
      </c>
      <c r="K120" s="29">
        <f t="shared" si="79"/>
        <v>50</v>
      </c>
      <c r="L120" s="29">
        <f t="shared" si="80"/>
        <v>100</v>
      </c>
      <c r="M120" s="2"/>
      <c r="N120" s="2">
        <f t="shared" si="83"/>
        <v>90</v>
      </c>
      <c r="O120" s="64">
        <f t="shared" si="81"/>
        <v>1</v>
      </c>
      <c r="P120" s="22">
        <f t="shared" si="101"/>
        <v>652.78600000000006</v>
      </c>
    </row>
    <row r="121" spans="1:16" x14ac:dyDescent="0.35">
      <c r="D121" s="19"/>
      <c r="E121" s="12"/>
      <c r="F121" s="12"/>
      <c r="G121" s="12">
        <f>'Emission factors'!C92*$E$5</f>
        <v>0</v>
      </c>
      <c r="H121" s="2"/>
      <c r="I121" s="29">
        <f t="shared" ref="I121" si="108">I120*(1+$O$21)</f>
        <v>0</v>
      </c>
      <c r="J121" s="29">
        <v>52.05</v>
      </c>
      <c r="K121" s="29">
        <f t="shared" si="79"/>
        <v>50</v>
      </c>
      <c r="L121" s="29">
        <f t="shared" si="80"/>
        <v>100</v>
      </c>
      <c r="M121" s="2"/>
      <c r="N121" s="2">
        <f t="shared" si="83"/>
        <v>91</v>
      </c>
      <c r="O121" s="64">
        <f t="shared" si="81"/>
        <v>1</v>
      </c>
      <c r="P121" s="22">
        <f t="shared" si="101"/>
        <v>652.78600000000006</v>
      </c>
    </row>
    <row r="122" spans="1:16" x14ac:dyDescent="0.35">
      <c r="D122" s="19"/>
      <c r="E122" s="12"/>
      <c r="F122" s="12"/>
      <c r="G122" s="12">
        <f>'Emission factors'!C93*$E$5</f>
        <v>0</v>
      </c>
      <c r="H122" s="2"/>
      <c r="I122" s="29">
        <f t="shared" ref="I122" si="109">I121*(1+$O$21)</f>
        <v>0</v>
      </c>
      <c r="J122" s="29">
        <v>52.05</v>
      </c>
      <c r="K122" s="29">
        <f t="shared" si="79"/>
        <v>50</v>
      </c>
      <c r="L122" s="29">
        <f t="shared" si="80"/>
        <v>100</v>
      </c>
      <c r="M122" s="2"/>
      <c r="N122" s="2">
        <f t="shared" si="83"/>
        <v>92</v>
      </c>
      <c r="O122" s="64">
        <f t="shared" si="81"/>
        <v>1</v>
      </c>
      <c r="P122" s="22">
        <f t="shared" si="101"/>
        <v>652.78600000000006</v>
      </c>
    </row>
    <row r="123" spans="1:16" x14ac:dyDescent="0.35">
      <c r="D123" s="19"/>
      <c r="E123" s="12"/>
      <c r="F123" s="12"/>
      <c r="G123" s="12">
        <f>'Emission factors'!C94*$E$5</f>
        <v>0</v>
      </c>
      <c r="H123" s="2"/>
      <c r="I123" s="29">
        <f t="shared" ref="I123" si="110">I122*(1+$O$21)</f>
        <v>0</v>
      </c>
      <c r="J123" s="29">
        <v>52.05</v>
      </c>
      <c r="K123" s="29">
        <f t="shared" si="79"/>
        <v>50</v>
      </c>
      <c r="L123" s="29">
        <f t="shared" si="80"/>
        <v>100</v>
      </c>
      <c r="M123" s="2"/>
      <c r="N123" s="2">
        <f t="shared" si="83"/>
        <v>93</v>
      </c>
      <c r="O123" s="64">
        <f t="shared" si="81"/>
        <v>1</v>
      </c>
      <c r="P123" s="22">
        <f t="shared" si="101"/>
        <v>652.78600000000006</v>
      </c>
    </row>
    <row r="124" spans="1:16" x14ac:dyDescent="0.35">
      <c r="D124" s="19"/>
      <c r="E124" s="12"/>
      <c r="F124" s="12"/>
      <c r="G124" s="12">
        <f>'Emission factors'!C95*$E$5</f>
        <v>0</v>
      </c>
      <c r="H124" s="2"/>
      <c r="I124" s="29">
        <f t="shared" ref="I124" si="111">I123*(1+$O$21)</f>
        <v>0</v>
      </c>
      <c r="J124" s="29">
        <v>52.05</v>
      </c>
      <c r="K124" s="29">
        <f t="shared" si="79"/>
        <v>50</v>
      </c>
      <c r="L124" s="29">
        <f t="shared" si="80"/>
        <v>100</v>
      </c>
      <c r="M124" s="2"/>
      <c r="N124" s="2">
        <f t="shared" si="83"/>
        <v>94</v>
      </c>
      <c r="O124" s="64">
        <f t="shared" si="81"/>
        <v>1</v>
      </c>
      <c r="P124" s="22">
        <f t="shared" si="101"/>
        <v>652.78600000000006</v>
      </c>
    </row>
    <row r="125" spans="1:16" x14ac:dyDescent="0.35">
      <c r="D125" s="19"/>
      <c r="E125" s="12"/>
      <c r="F125" s="12"/>
      <c r="G125" s="12">
        <f>'Emission factors'!C96*$E$5</f>
        <v>0</v>
      </c>
      <c r="H125" s="2"/>
      <c r="I125" s="29">
        <f t="shared" ref="I125" si="112">I124*(1+$O$21)</f>
        <v>0</v>
      </c>
      <c r="J125" s="29">
        <v>52.05</v>
      </c>
      <c r="K125" s="29">
        <f t="shared" si="79"/>
        <v>50</v>
      </c>
      <c r="L125" s="29">
        <f t="shared" si="80"/>
        <v>100</v>
      </c>
      <c r="M125" s="2"/>
      <c r="N125" s="2">
        <f t="shared" si="83"/>
        <v>95</v>
      </c>
      <c r="O125" s="64">
        <f t="shared" si="81"/>
        <v>1</v>
      </c>
      <c r="P125" s="22">
        <f t="shared" si="101"/>
        <v>652.78600000000006</v>
      </c>
    </row>
    <row r="126" spans="1:16" x14ac:dyDescent="0.35">
      <c r="D126" s="19"/>
      <c r="E126" s="12"/>
      <c r="F126" s="12"/>
      <c r="G126" s="12">
        <f>'Emission factors'!C97*$E$5</f>
        <v>0</v>
      </c>
      <c r="H126" s="2"/>
      <c r="I126" s="29">
        <f t="shared" ref="I126" si="113">I125*(1+$O$21)</f>
        <v>0</v>
      </c>
      <c r="J126" s="29">
        <v>52.05</v>
      </c>
      <c r="K126" s="29">
        <f t="shared" si="79"/>
        <v>50</v>
      </c>
      <c r="L126" s="29">
        <f t="shared" si="80"/>
        <v>100</v>
      </c>
      <c r="M126" s="2"/>
      <c r="N126" s="2">
        <f t="shared" si="83"/>
        <v>96</v>
      </c>
      <c r="O126" s="64">
        <f t="shared" si="81"/>
        <v>1</v>
      </c>
      <c r="P126" s="22">
        <f t="shared" si="101"/>
        <v>652.78600000000006</v>
      </c>
    </row>
    <row r="127" spans="1:16" x14ac:dyDescent="0.35">
      <c r="D127" s="19"/>
      <c r="E127" s="12"/>
      <c r="F127" s="12"/>
      <c r="G127" s="12">
        <f>'Emission factors'!C98*$E$5</f>
        <v>0</v>
      </c>
      <c r="H127" s="2"/>
      <c r="I127" s="29">
        <f t="shared" ref="I127" si="114">I126*(1+$O$21)</f>
        <v>0</v>
      </c>
      <c r="J127" s="29">
        <v>52.05</v>
      </c>
      <c r="K127" s="29">
        <f t="shared" si="79"/>
        <v>50</v>
      </c>
      <c r="L127" s="29">
        <f t="shared" si="80"/>
        <v>100</v>
      </c>
      <c r="M127" s="2"/>
      <c r="N127" s="2">
        <f t="shared" si="83"/>
        <v>97</v>
      </c>
      <c r="O127" s="64">
        <f t="shared" si="81"/>
        <v>1</v>
      </c>
      <c r="P127" s="22">
        <f t="shared" si="101"/>
        <v>652.78600000000006</v>
      </c>
    </row>
    <row r="128" spans="1:16" x14ac:dyDescent="0.35">
      <c r="D128" s="19"/>
      <c r="E128" s="12"/>
      <c r="F128" s="12"/>
      <c r="G128" s="12">
        <f>'Emission factors'!C99*$E$5</f>
        <v>0</v>
      </c>
      <c r="H128" s="2"/>
      <c r="I128" s="29">
        <f t="shared" ref="I128" si="115">I127*(1+$O$21)</f>
        <v>0</v>
      </c>
      <c r="J128" s="29">
        <v>52.05</v>
      </c>
      <c r="K128" s="29">
        <f t="shared" ref="K128:K159" si="116">K127*(1+$O$21)</f>
        <v>50</v>
      </c>
      <c r="L128" s="29">
        <f t="shared" ref="L128:L159" si="117">L$31*O128</f>
        <v>100</v>
      </c>
      <c r="M128" s="2"/>
      <c r="N128" s="2">
        <f t="shared" si="83"/>
        <v>98</v>
      </c>
      <c r="O128" s="64">
        <f t="shared" ref="O128:O159" si="118">$O127*(1+$O$21)</f>
        <v>1</v>
      </c>
      <c r="P128" s="22">
        <f t="shared" si="101"/>
        <v>652.78600000000006</v>
      </c>
    </row>
    <row r="129" spans="4:16" x14ac:dyDescent="0.35">
      <c r="D129" s="19"/>
      <c r="E129" s="12"/>
      <c r="F129" s="12"/>
      <c r="G129" s="12">
        <f>'Emission factors'!C100*$E$5</f>
        <v>0</v>
      </c>
      <c r="H129" s="2"/>
      <c r="I129" s="29">
        <f t="shared" ref="I129" si="119">I128*(1+$O$21)</f>
        <v>0</v>
      </c>
      <c r="J129" s="29">
        <v>52.05</v>
      </c>
      <c r="K129" s="29">
        <f t="shared" si="116"/>
        <v>50</v>
      </c>
      <c r="L129" s="29">
        <f t="shared" si="117"/>
        <v>100</v>
      </c>
      <c r="M129" s="2"/>
      <c r="N129" s="2">
        <f t="shared" si="83"/>
        <v>99</v>
      </c>
      <c r="O129" s="64">
        <f t="shared" si="118"/>
        <v>1</v>
      </c>
      <c r="P129" s="22">
        <f t="shared" si="101"/>
        <v>652.78600000000006</v>
      </c>
    </row>
    <row r="130" spans="4:16" x14ac:dyDescent="0.35">
      <c r="D130" s="19"/>
      <c r="E130" s="12"/>
      <c r="F130" s="12"/>
      <c r="G130" s="12">
        <f>'Emission factors'!C101*$E$5</f>
        <v>0</v>
      </c>
      <c r="H130" s="2"/>
      <c r="I130" s="29">
        <f t="shared" ref="I130" si="120">I129*(1+$O$21)</f>
        <v>0</v>
      </c>
      <c r="J130" s="29">
        <v>52.05</v>
      </c>
      <c r="K130" s="29">
        <f t="shared" si="116"/>
        <v>50</v>
      </c>
      <c r="L130" s="29">
        <f t="shared" si="117"/>
        <v>100</v>
      </c>
      <c r="M130" s="2"/>
      <c r="N130" s="2">
        <f t="shared" si="83"/>
        <v>100</v>
      </c>
      <c r="O130" s="64">
        <f t="shared" si="118"/>
        <v>1</v>
      </c>
      <c r="P130" s="22">
        <f t="shared" si="101"/>
        <v>652.78600000000006</v>
      </c>
    </row>
    <row r="131" spans="4:16" x14ac:dyDescent="0.35">
      <c r="D131" s="19"/>
      <c r="E131" s="12"/>
      <c r="F131" s="12"/>
      <c r="G131" s="12">
        <f>'Emission factors'!C102*$E$5</f>
        <v>0</v>
      </c>
      <c r="H131" s="2"/>
      <c r="I131" s="29">
        <f t="shared" ref="I131" si="121">I130*(1+$O$21)</f>
        <v>0</v>
      </c>
      <c r="J131" s="29">
        <v>52.05</v>
      </c>
      <c r="K131" s="29">
        <f t="shared" si="116"/>
        <v>50</v>
      </c>
      <c r="L131" s="29">
        <f t="shared" si="117"/>
        <v>100</v>
      </c>
      <c r="M131" s="2"/>
      <c r="N131" s="2">
        <f t="shared" si="83"/>
        <v>101</v>
      </c>
      <c r="O131" s="64">
        <f t="shared" si="118"/>
        <v>1</v>
      </c>
      <c r="P131" s="22">
        <f t="shared" si="101"/>
        <v>652.78600000000006</v>
      </c>
    </row>
    <row r="132" spans="4:16" x14ac:dyDescent="0.35">
      <c r="D132" s="19"/>
      <c r="E132" s="12"/>
      <c r="F132" s="12"/>
      <c r="G132" s="12">
        <f>'Emission factors'!C103*$E$5</f>
        <v>0</v>
      </c>
      <c r="H132" s="2"/>
      <c r="I132" s="29">
        <f t="shared" ref="I132" si="122">I131*(1+$O$21)</f>
        <v>0</v>
      </c>
      <c r="J132" s="29">
        <v>52.05</v>
      </c>
      <c r="K132" s="29">
        <f t="shared" si="116"/>
        <v>50</v>
      </c>
      <c r="L132" s="29">
        <f t="shared" si="117"/>
        <v>100</v>
      </c>
      <c r="M132" s="2"/>
      <c r="N132" s="2">
        <f t="shared" si="83"/>
        <v>102</v>
      </c>
      <c r="O132" s="64">
        <f t="shared" si="118"/>
        <v>1</v>
      </c>
      <c r="P132" s="61" t="s">
        <v>243</v>
      </c>
    </row>
    <row r="133" spans="4:16" x14ac:dyDescent="0.35">
      <c r="D133" s="19"/>
      <c r="E133" s="12"/>
      <c r="F133" s="12"/>
      <c r="G133" s="12">
        <f>'Emission factors'!C104*$E$5</f>
        <v>0</v>
      </c>
      <c r="H133" s="2"/>
      <c r="I133" s="29">
        <f t="shared" ref="I133" si="123">I132*(1+$O$21)</f>
        <v>0</v>
      </c>
      <c r="J133" s="29">
        <v>52.05</v>
      </c>
      <c r="K133" s="29">
        <f t="shared" si="116"/>
        <v>50</v>
      </c>
      <c r="L133" s="29">
        <f t="shared" si="117"/>
        <v>100</v>
      </c>
      <c r="M133" s="2"/>
      <c r="N133" s="2">
        <f t="shared" si="83"/>
        <v>103</v>
      </c>
      <c r="O133" s="64">
        <f t="shared" si="118"/>
        <v>1</v>
      </c>
      <c r="P133" s="33">
        <f t="shared" ref="P133:P164" si="124">($S$18*O31)*$E$5</f>
        <v>834.15</v>
      </c>
    </row>
    <row r="134" spans="4:16" x14ac:dyDescent="0.35">
      <c r="D134" s="19"/>
      <c r="E134" s="12"/>
      <c r="F134" s="12"/>
      <c r="G134" s="12">
        <f>'Emission factors'!C105*$E$5</f>
        <v>0</v>
      </c>
      <c r="H134" s="2"/>
      <c r="I134" s="29">
        <f t="shared" ref="I134" si="125">I133*(1+$O$21)</f>
        <v>0</v>
      </c>
      <c r="J134" s="29">
        <v>52.05</v>
      </c>
      <c r="K134" s="29">
        <f t="shared" si="116"/>
        <v>50</v>
      </c>
      <c r="L134" s="29">
        <f t="shared" si="117"/>
        <v>100</v>
      </c>
      <c r="M134" s="2"/>
      <c r="N134" s="2">
        <f t="shared" si="83"/>
        <v>104</v>
      </c>
      <c r="O134" s="64">
        <f t="shared" si="118"/>
        <v>1</v>
      </c>
      <c r="P134" s="22">
        <f t="shared" si="124"/>
        <v>834.15</v>
      </c>
    </row>
    <row r="135" spans="4:16" x14ac:dyDescent="0.35">
      <c r="D135" s="19"/>
      <c r="E135" s="12"/>
      <c r="F135" s="12"/>
      <c r="G135" s="12">
        <f>'Emission factors'!C106*$E$5</f>
        <v>0</v>
      </c>
      <c r="H135" s="2"/>
      <c r="I135" s="29">
        <f t="shared" ref="I135" si="126">I134*(1+$O$21)</f>
        <v>0</v>
      </c>
      <c r="J135" s="29">
        <v>52.05</v>
      </c>
      <c r="K135" s="29">
        <f t="shared" si="116"/>
        <v>50</v>
      </c>
      <c r="L135" s="29">
        <f t="shared" si="117"/>
        <v>100</v>
      </c>
      <c r="M135" s="2"/>
      <c r="N135" s="2">
        <f t="shared" si="83"/>
        <v>105</v>
      </c>
      <c r="O135" s="64">
        <f t="shared" si="118"/>
        <v>1</v>
      </c>
      <c r="P135" s="22">
        <f t="shared" si="124"/>
        <v>834.15</v>
      </c>
    </row>
    <row r="136" spans="4:16" x14ac:dyDescent="0.35">
      <c r="D136" s="19"/>
      <c r="E136" s="12"/>
      <c r="F136" s="12"/>
      <c r="G136" s="12">
        <f>'Emission factors'!C107*$E$5</f>
        <v>0</v>
      </c>
      <c r="H136" s="2"/>
      <c r="I136" s="29">
        <f t="shared" ref="I136" si="127">I135*(1+$O$21)</f>
        <v>0</v>
      </c>
      <c r="J136" s="29">
        <v>52.05</v>
      </c>
      <c r="K136" s="29">
        <f t="shared" si="116"/>
        <v>50</v>
      </c>
      <c r="L136" s="29">
        <f t="shared" si="117"/>
        <v>100</v>
      </c>
      <c r="M136" s="2"/>
      <c r="N136" s="2">
        <f t="shared" si="83"/>
        <v>106</v>
      </c>
      <c r="O136" s="64">
        <f t="shared" si="118"/>
        <v>1</v>
      </c>
      <c r="P136" s="22">
        <f t="shared" si="124"/>
        <v>834.15</v>
      </c>
    </row>
    <row r="137" spans="4:16" x14ac:dyDescent="0.35">
      <c r="D137" s="19"/>
      <c r="E137" s="12"/>
      <c r="F137" s="12"/>
      <c r="G137" s="12">
        <f>'Emission factors'!C108*$E$5</f>
        <v>0</v>
      </c>
      <c r="H137" s="2"/>
      <c r="I137" s="29">
        <f t="shared" ref="I137" si="128">I136*(1+$O$21)</f>
        <v>0</v>
      </c>
      <c r="J137" s="29">
        <v>52.05</v>
      </c>
      <c r="K137" s="29">
        <f t="shared" si="116"/>
        <v>50</v>
      </c>
      <c r="L137" s="29">
        <f t="shared" si="117"/>
        <v>100</v>
      </c>
      <c r="M137" s="2"/>
      <c r="N137" s="2">
        <f t="shared" si="83"/>
        <v>107</v>
      </c>
      <c r="O137" s="64">
        <f t="shared" si="118"/>
        <v>1</v>
      </c>
      <c r="P137" s="22">
        <f t="shared" si="124"/>
        <v>834.15</v>
      </c>
    </row>
    <row r="138" spans="4:16" x14ac:dyDescent="0.35">
      <c r="D138" s="19"/>
      <c r="E138" s="12"/>
      <c r="F138" s="12"/>
      <c r="G138" s="12">
        <f>'Emission factors'!C109*$E$5</f>
        <v>0</v>
      </c>
      <c r="H138" s="2"/>
      <c r="I138" s="29">
        <f t="shared" ref="I138" si="129">I137*(1+$O$21)</f>
        <v>0</v>
      </c>
      <c r="J138" s="29">
        <v>52.05</v>
      </c>
      <c r="K138" s="29">
        <f t="shared" si="116"/>
        <v>50</v>
      </c>
      <c r="L138" s="29">
        <f t="shared" si="117"/>
        <v>100</v>
      </c>
      <c r="M138" s="2"/>
      <c r="N138" s="2">
        <f t="shared" si="83"/>
        <v>108</v>
      </c>
      <c r="O138" s="64">
        <f t="shared" si="118"/>
        <v>1</v>
      </c>
      <c r="P138" s="22">
        <f t="shared" si="124"/>
        <v>834.15</v>
      </c>
    </row>
    <row r="139" spans="4:16" x14ac:dyDescent="0.35">
      <c r="D139" s="19"/>
      <c r="E139" s="12"/>
      <c r="F139" s="12"/>
      <c r="G139" s="12">
        <f>'Emission factors'!C110*$E$5</f>
        <v>0</v>
      </c>
      <c r="H139" s="2"/>
      <c r="I139" s="29">
        <f t="shared" ref="I139" si="130">I138*(1+$O$21)</f>
        <v>0</v>
      </c>
      <c r="J139" s="29">
        <v>52.05</v>
      </c>
      <c r="K139" s="29">
        <f t="shared" si="116"/>
        <v>50</v>
      </c>
      <c r="L139" s="29">
        <f t="shared" si="117"/>
        <v>100</v>
      </c>
      <c r="M139" s="2"/>
      <c r="N139" s="2">
        <f t="shared" si="83"/>
        <v>109</v>
      </c>
      <c r="O139" s="64">
        <f t="shared" si="118"/>
        <v>1</v>
      </c>
      <c r="P139" s="22">
        <f t="shared" si="124"/>
        <v>834.15</v>
      </c>
    </row>
    <row r="140" spans="4:16" x14ac:dyDescent="0.35">
      <c r="D140" s="19"/>
      <c r="E140" s="12"/>
      <c r="F140" s="12"/>
      <c r="G140" s="12">
        <f>'Emission factors'!C111*$E$5</f>
        <v>0</v>
      </c>
      <c r="H140" s="2"/>
      <c r="I140" s="29">
        <f t="shared" ref="I140" si="131">I139*(1+$O$21)</f>
        <v>0</v>
      </c>
      <c r="J140" s="29">
        <v>52.05</v>
      </c>
      <c r="K140" s="29">
        <f t="shared" si="116"/>
        <v>50</v>
      </c>
      <c r="L140" s="29">
        <f t="shared" si="117"/>
        <v>100</v>
      </c>
      <c r="M140" s="2"/>
      <c r="N140" s="2">
        <f t="shared" si="83"/>
        <v>110</v>
      </c>
      <c r="O140" s="64">
        <f t="shared" si="118"/>
        <v>1</v>
      </c>
      <c r="P140" s="22">
        <f t="shared" si="124"/>
        <v>834.15</v>
      </c>
    </row>
    <row r="141" spans="4:16" x14ac:dyDescent="0.35">
      <c r="D141" s="19"/>
      <c r="E141" s="12"/>
      <c r="F141" s="12"/>
      <c r="G141" s="12">
        <f>'Emission factors'!C112*$E$5</f>
        <v>0</v>
      </c>
      <c r="H141" s="2"/>
      <c r="I141" s="29">
        <f t="shared" ref="I141" si="132">I140*(1+$O$21)</f>
        <v>0</v>
      </c>
      <c r="J141" s="29">
        <v>52.05</v>
      </c>
      <c r="K141" s="29">
        <f t="shared" si="116"/>
        <v>50</v>
      </c>
      <c r="L141" s="29">
        <f t="shared" si="117"/>
        <v>100</v>
      </c>
      <c r="M141" s="2"/>
      <c r="N141" s="2">
        <f t="shared" si="83"/>
        <v>111</v>
      </c>
      <c r="O141" s="64">
        <f t="shared" si="118"/>
        <v>1</v>
      </c>
      <c r="P141" s="22">
        <f t="shared" si="124"/>
        <v>834.15</v>
      </c>
    </row>
    <row r="142" spans="4:16" x14ac:dyDescent="0.35">
      <c r="D142" s="19"/>
      <c r="E142" s="12"/>
      <c r="F142" s="12"/>
      <c r="G142" s="12">
        <f>'Emission factors'!C113*$E$5</f>
        <v>0</v>
      </c>
      <c r="H142" s="2"/>
      <c r="I142" s="29">
        <f t="shared" ref="I142" si="133">I141*(1+$O$21)</f>
        <v>0</v>
      </c>
      <c r="J142" s="29">
        <v>52.05</v>
      </c>
      <c r="K142" s="29">
        <f t="shared" si="116"/>
        <v>50</v>
      </c>
      <c r="L142" s="29">
        <f t="shared" si="117"/>
        <v>100</v>
      </c>
      <c r="M142" s="2"/>
      <c r="N142" s="2">
        <f t="shared" si="83"/>
        <v>112</v>
      </c>
      <c r="O142" s="64">
        <f t="shared" si="118"/>
        <v>1</v>
      </c>
      <c r="P142" s="22">
        <f t="shared" si="124"/>
        <v>834.15</v>
      </c>
    </row>
    <row r="143" spans="4:16" x14ac:dyDescent="0.35">
      <c r="D143" s="19"/>
      <c r="E143" s="12"/>
      <c r="F143" s="12"/>
      <c r="G143" s="12">
        <f>'Emission factors'!C114*$E$5</f>
        <v>0</v>
      </c>
      <c r="H143" s="2"/>
      <c r="I143" s="29">
        <f t="shared" ref="I143" si="134">I142*(1+$O$21)</f>
        <v>0</v>
      </c>
      <c r="J143" s="29">
        <v>52.05</v>
      </c>
      <c r="K143" s="29">
        <f t="shared" si="116"/>
        <v>50</v>
      </c>
      <c r="L143" s="29">
        <f t="shared" si="117"/>
        <v>100</v>
      </c>
      <c r="M143" s="2"/>
      <c r="N143" s="2">
        <f t="shared" si="83"/>
        <v>113</v>
      </c>
      <c r="O143" s="64">
        <f t="shared" si="118"/>
        <v>1</v>
      </c>
      <c r="P143" s="22">
        <f t="shared" si="124"/>
        <v>834.15</v>
      </c>
    </row>
    <row r="144" spans="4:16" x14ac:dyDescent="0.35">
      <c r="D144" s="19"/>
      <c r="E144" s="12"/>
      <c r="F144" s="12"/>
      <c r="G144" s="12">
        <f>'Emission factors'!C115*$E$5</f>
        <v>0</v>
      </c>
      <c r="H144" s="2"/>
      <c r="I144" s="29">
        <f t="shared" ref="I144" si="135">I143*(1+$O$21)</f>
        <v>0</v>
      </c>
      <c r="J144" s="29">
        <v>52.05</v>
      </c>
      <c r="K144" s="29">
        <f t="shared" si="116"/>
        <v>50</v>
      </c>
      <c r="L144" s="29">
        <f t="shared" si="117"/>
        <v>100</v>
      </c>
      <c r="M144" s="2"/>
      <c r="N144" s="2">
        <f t="shared" si="83"/>
        <v>114</v>
      </c>
      <c r="O144" s="64">
        <f t="shared" si="118"/>
        <v>1</v>
      </c>
      <c r="P144" s="22">
        <f t="shared" si="124"/>
        <v>834.15</v>
      </c>
    </row>
    <row r="145" spans="4:16" x14ac:dyDescent="0.35">
      <c r="D145" s="19"/>
      <c r="E145" s="12"/>
      <c r="F145" s="12"/>
      <c r="G145" s="12">
        <f>'Emission factors'!C116*$E$5</f>
        <v>0</v>
      </c>
      <c r="H145" s="2"/>
      <c r="I145" s="29">
        <f t="shared" ref="I145" si="136">I144*(1+$O$21)</f>
        <v>0</v>
      </c>
      <c r="J145" s="29">
        <v>52.05</v>
      </c>
      <c r="K145" s="29">
        <f t="shared" si="116"/>
        <v>50</v>
      </c>
      <c r="L145" s="29">
        <f t="shared" si="117"/>
        <v>100</v>
      </c>
      <c r="M145" s="2"/>
      <c r="N145" s="2">
        <f t="shared" si="83"/>
        <v>115</v>
      </c>
      <c r="O145" s="64">
        <f t="shared" si="118"/>
        <v>1</v>
      </c>
      <c r="P145" s="22">
        <f t="shared" si="124"/>
        <v>834.15</v>
      </c>
    </row>
    <row r="146" spans="4:16" x14ac:dyDescent="0.35">
      <c r="D146" s="19"/>
      <c r="E146" s="12"/>
      <c r="F146" s="12"/>
      <c r="G146" s="12">
        <f>'Emission factors'!C117*$E$5</f>
        <v>0</v>
      </c>
      <c r="H146" s="2"/>
      <c r="I146" s="29">
        <f t="shared" ref="I146" si="137">I145*(1+$O$21)</f>
        <v>0</v>
      </c>
      <c r="J146" s="29">
        <v>52.05</v>
      </c>
      <c r="K146" s="29">
        <f t="shared" si="116"/>
        <v>50</v>
      </c>
      <c r="L146" s="29">
        <f t="shared" si="117"/>
        <v>100</v>
      </c>
      <c r="M146" s="2"/>
      <c r="N146" s="2">
        <f t="shared" si="83"/>
        <v>116</v>
      </c>
      <c r="O146" s="64">
        <f t="shared" si="118"/>
        <v>1</v>
      </c>
      <c r="P146" s="22">
        <f t="shared" si="124"/>
        <v>834.15</v>
      </c>
    </row>
    <row r="147" spans="4:16" x14ac:dyDescent="0.35">
      <c r="D147" s="19"/>
      <c r="E147" s="12"/>
      <c r="F147" s="12"/>
      <c r="G147" s="12">
        <f>'Emission factors'!C118*$E$5</f>
        <v>0</v>
      </c>
      <c r="H147" s="2"/>
      <c r="I147" s="29">
        <f t="shared" ref="I147" si="138">I146*(1+$O$21)</f>
        <v>0</v>
      </c>
      <c r="J147" s="29">
        <v>52.05</v>
      </c>
      <c r="K147" s="29">
        <f t="shared" si="116"/>
        <v>50</v>
      </c>
      <c r="L147" s="29">
        <f t="shared" si="117"/>
        <v>100</v>
      </c>
      <c r="M147" s="2"/>
      <c r="N147" s="2">
        <f t="shared" si="83"/>
        <v>117</v>
      </c>
      <c r="O147" s="64">
        <f t="shared" si="118"/>
        <v>1</v>
      </c>
      <c r="P147" s="22">
        <f t="shared" si="124"/>
        <v>834.15</v>
      </c>
    </row>
    <row r="148" spans="4:16" x14ac:dyDescent="0.35">
      <c r="D148" s="19"/>
      <c r="E148" s="12"/>
      <c r="F148" s="12"/>
      <c r="G148" s="12">
        <f>'Emission factors'!C119*$E$5</f>
        <v>0</v>
      </c>
      <c r="H148" s="2"/>
      <c r="I148" s="29">
        <f t="shared" ref="I148" si="139">I147*(1+$O$21)</f>
        <v>0</v>
      </c>
      <c r="J148" s="29">
        <v>52.05</v>
      </c>
      <c r="K148" s="29">
        <f t="shared" si="116"/>
        <v>50</v>
      </c>
      <c r="L148" s="29">
        <f t="shared" si="117"/>
        <v>100</v>
      </c>
      <c r="M148" s="2"/>
      <c r="N148" s="2">
        <f t="shared" si="83"/>
        <v>118</v>
      </c>
      <c r="O148" s="64">
        <f t="shared" si="118"/>
        <v>1</v>
      </c>
      <c r="P148" s="22">
        <f t="shared" si="124"/>
        <v>834.15</v>
      </c>
    </row>
    <row r="149" spans="4:16" x14ac:dyDescent="0.35">
      <c r="D149" s="19"/>
      <c r="E149" s="12"/>
      <c r="F149" s="12"/>
      <c r="G149" s="12">
        <f>'Emission factors'!C120*$E$5</f>
        <v>0</v>
      </c>
      <c r="H149" s="2"/>
      <c r="I149" s="29">
        <f t="shared" ref="I149" si="140">I148*(1+$O$21)</f>
        <v>0</v>
      </c>
      <c r="J149" s="29">
        <v>52.05</v>
      </c>
      <c r="K149" s="29">
        <f t="shared" si="116"/>
        <v>50</v>
      </c>
      <c r="L149" s="29">
        <f t="shared" si="117"/>
        <v>100</v>
      </c>
      <c r="M149" s="2"/>
      <c r="N149" s="2">
        <f t="shared" si="83"/>
        <v>119</v>
      </c>
      <c r="O149" s="64">
        <f t="shared" si="118"/>
        <v>1</v>
      </c>
      <c r="P149" s="22">
        <f t="shared" si="124"/>
        <v>834.15</v>
      </c>
    </row>
    <row r="150" spans="4:16" x14ac:dyDescent="0.35">
      <c r="D150" s="19"/>
      <c r="E150" s="12"/>
      <c r="F150" s="12"/>
      <c r="G150" s="12">
        <f>'Emission factors'!C121*$E$5</f>
        <v>0</v>
      </c>
      <c r="H150" s="2"/>
      <c r="I150" s="29">
        <f t="shared" ref="I150" si="141">I149*(1+$O$21)</f>
        <v>0</v>
      </c>
      <c r="J150" s="29">
        <v>52.05</v>
      </c>
      <c r="K150" s="29">
        <f t="shared" si="116"/>
        <v>50</v>
      </c>
      <c r="L150" s="29">
        <f t="shared" si="117"/>
        <v>100</v>
      </c>
      <c r="M150" s="2"/>
      <c r="N150" s="2">
        <f t="shared" si="83"/>
        <v>120</v>
      </c>
      <c r="O150" s="64">
        <f t="shared" si="118"/>
        <v>1</v>
      </c>
      <c r="P150" s="22">
        <f t="shared" si="124"/>
        <v>834.15</v>
      </c>
    </row>
    <row r="151" spans="4:16" x14ac:dyDescent="0.35">
      <c r="D151" s="19"/>
      <c r="E151" s="12"/>
      <c r="F151" s="12"/>
      <c r="G151" s="12">
        <f>'Emission factors'!C122*$E$5</f>
        <v>0</v>
      </c>
      <c r="H151" s="2"/>
      <c r="I151" s="29">
        <f t="shared" ref="I151" si="142">I150*(1+$O$21)</f>
        <v>0</v>
      </c>
      <c r="J151" s="29">
        <v>52.05</v>
      </c>
      <c r="K151" s="29">
        <f t="shared" si="116"/>
        <v>50</v>
      </c>
      <c r="L151" s="29">
        <f t="shared" si="117"/>
        <v>100</v>
      </c>
      <c r="M151" s="2"/>
      <c r="N151" s="2">
        <f t="shared" si="83"/>
        <v>121</v>
      </c>
      <c r="O151" s="64">
        <f t="shared" si="118"/>
        <v>1</v>
      </c>
      <c r="P151" s="22">
        <f t="shared" si="124"/>
        <v>834.15</v>
      </c>
    </row>
    <row r="152" spans="4:16" x14ac:dyDescent="0.35">
      <c r="D152" s="19"/>
      <c r="E152" s="12"/>
      <c r="F152" s="12"/>
      <c r="G152" s="12">
        <f>'Emission factors'!C123*$E$5</f>
        <v>0</v>
      </c>
      <c r="H152" s="2"/>
      <c r="I152" s="29">
        <f t="shared" ref="I152" si="143">I151*(1+$O$21)</f>
        <v>0</v>
      </c>
      <c r="J152" s="29">
        <v>52.05</v>
      </c>
      <c r="K152" s="29">
        <f t="shared" si="116"/>
        <v>50</v>
      </c>
      <c r="L152" s="29">
        <f t="shared" si="117"/>
        <v>100</v>
      </c>
      <c r="M152" s="2"/>
      <c r="N152" s="2">
        <f t="shared" si="83"/>
        <v>122</v>
      </c>
      <c r="O152" s="64">
        <f t="shared" si="118"/>
        <v>1</v>
      </c>
      <c r="P152" s="22">
        <f t="shared" si="124"/>
        <v>834.15</v>
      </c>
    </row>
    <row r="153" spans="4:16" x14ac:dyDescent="0.35">
      <c r="D153" s="19"/>
      <c r="E153" s="12"/>
      <c r="F153" s="12"/>
      <c r="G153" s="12">
        <f>'Emission factors'!C124*$E$5</f>
        <v>0</v>
      </c>
      <c r="H153" s="2"/>
      <c r="I153" s="29">
        <f t="shared" ref="I153" si="144">I152*(1+$O$21)</f>
        <v>0</v>
      </c>
      <c r="J153" s="29">
        <v>52.05</v>
      </c>
      <c r="K153" s="29">
        <f t="shared" si="116"/>
        <v>50</v>
      </c>
      <c r="L153" s="29">
        <f t="shared" si="117"/>
        <v>100</v>
      </c>
      <c r="M153" s="2"/>
      <c r="N153" s="2">
        <f t="shared" si="83"/>
        <v>123</v>
      </c>
      <c r="O153" s="64">
        <f t="shared" si="118"/>
        <v>1</v>
      </c>
      <c r="P153" s="22">
        <f t="shared" si="124"/>
        <v>834.15</v>
      </c>
    </row>
    <row r="154" spans="4:16" x14ac:dyDescent="0.35">
      <c r="D154" s="19"/>
      <c r="E154" s="12"/>
      <c r="F154" s="12"/>
      <c r="G154" s="12">
        <f>'Emission factors'!C125*$E$5</f>
        <v>0</v>
      </c>
      <c r="H154" s="2"/>
      <c r="I154" s="29">
        <f t="shared" ref="I154" si="145">I153*(1+$O$21)</f>
        <v>0</v>
      </c>
      <c r="J154" s="29">
        <v>52.05</v>
      </c>
      <c r="K154" s="29">
        <f t="shared" si="116"/>
        <v>50</v>
      </c>
      <c r="L154" s="29">
        <f t="shared" si="117"/>
        <v>100</v>
      </c>
      <c r="M154" s="2"/>
      <c r="N154" s="2">
        <f t="shared" si="83"/>
        <v>124</v>
      </c>
      <c r="O154" s="64">
        <f t="shared" si="118"/>
        <v>1</v>
      </c>
      <c r="P154" s="22">
        <f t="shared" si="124"/>
        <v>834.15</v>
      </c>
    </row>
    <row r="155" spans="4:16" x14ac:dyDescent="0.35">
      <c r="D155" s="19"/>
      <c r="E155" s="12"/>
      <c r="F155" s="12"/>
      <c r="G155" s="12">
        <f>'Emission factors'!C126*$E$5</f>
        <v>0</v>
      </c>
      <c r="H155" s="2"/>
      <c r="I155" s="29">
        <f t="shared" ref="I155" si="146">I154*(1+$O$21)</f>
        <v>0</v>
      </c>
      <c r="J155" s="29">
        <v>52.05</v>
      </c>
      <c r="K155" s="29">
        <f t="shared" si="116"/>
        <v>50</v>
      </c>
      <c r="L155" s="29">
        <f t="shared" si="117"/>
        <v>100</v>
      </c>
      <c r="M155" s="2"/>
      <c r="N155" s="2">
        <f t="shared" si="83"/>
        <v>125</v>
      </c>
      <c r="O155" s="64">
        <f t="shared" si="118"/>
        <v>1</v>
      </c>
      <c r="P155" s="22">
        <f t="shared" si="124"/>
        <v>834.15</v>
      </c>
    </row>
    <row r="156" spans="4:16" x14ac:dyDescent="0.35">
      <c r="D156" s="19"/>
      <c r="E156" s="12"/>
      <c r="F156" s="12"/>
      <c r="G156" s="12">
        <f>'Emission factors'!C127*$E$5</f>
        <v>0</v>
      </c>
      <c r="H156" s="2"/>
      <c r="I156" s="29">
        <f t="shared" ref="I156" si="147">I155*(1+$O$21)</f>
        <v>0</v>
      </c>
      <c r="J156" s="29">
        <v>52.05</v>
      </c>
      <c r="K156" s="29">
        <f t="shared" si="116"/>
        <v>50</v>
      </c>
      <c r="L156" s="29">
        <f t="shared" si="117"/>
        <v>100</v>
      </c>
      <c r="M156" s="2"/>
      <c r="N156" s="2">
        <f t="shared" si="83"/>
        <v>126</v>
      </c>
      <c r="O156" s="64">
        <f t="shared" si="118"/>
        <v>1</v>
      </c>
      <c r="P156" s="22">
        <f t="shared" si="124"/>
        <v>834.15</v>
      </c>
    </row>
    <row r="157" spans="4:16" x14ac:dyDescent="0.35">
      <c r="D157" s="19"/>
      <c r="E157" s="12"/>
      <c r="F157" s="12"/>
      <c r="G157" s="12">
        <f>'Emission factors'!C128*$E$5</f>
        <v>0</v>
      </c>
      <c r="H157" s="2"/>
      <c r="I157" s="29">
        <f t="shared" ref="I157" si="148">I156*(1+$O$21)</f>
        <v>0</v>
      </c>
      <c r="J157" s="29">
        <v>52.05</v>
      </c>
      <c r="K157" s="29">
        <f t="shared" si="116"/>
        <v>50</v>
      </c>
      <c r="L157" s="29">
        <f t="shared" si="117"/>
        <v>100</v>
      </c>
      <c r="M157" s="2"/>
      <c r="N157" s="2">
        <f t="shared" si="83"/>
        <v>127</v>
      </c>
      <c r="O157" s="64">
        <f t="shared" si="118"/>
        <v>1</v>
      </c>
      <c r="P157" s="22">
        <f t="shared" si="124"/>
        <v>834.15</v>
      </c>
    </row>
    <row r="158" spans="4:16" x14ac:dyDescent="0.35">
      <c r="D158" s="19"/>
      <c r="E158" s="12"/>
      <c r="F158" s="12"/>
      <c r="G158" s="12">
        <f>'Emission factors'!C129*$E$5</f>
        <v>0</v>
      </c>
      <c r="H158" s="2"/>
      <c r="I158" s="29">
        <f t="shared" ref="I158" si="149">I157*(1+$O$21)</f>
        <v>0</v>
      </c>
      <c r="J158" s="29">
        <v>52.05</v>
      </c>
      <c r="K158" s="29">
        <f t="shared" si="116"/>
        <v>50</v>
      </c>
      <c r="L158" s="29">
        <f t="shared" si="117"/>
        <v>100</v>
      </c>
      <c r="M158" s="2"/>
      <c r="N158" s="2">
        <f t="shared" si="83"/>
        <v>128</v>
      </c>
      <c r="O158" s="64">
        <f t="shared" si="118"/>
        <v>1</v>
      </c>
      <c r="P158" s="22">
        <f t="shared" si="124"/>
        <v>834.15</v>
      </c>
    </row>
    <row r="159" spans="4:16" x14ac:dyDescent="0.35">
      <c r="D159" s="19"/>
      <c r="E159" s="12"/>
      <c r="F159" s="12"/>
      <c r="G159" s="12">
        <f>'Emission factors'!C130*$E$5</f>
        <v>0</v>
      </c>
      <c r="H159" s="2"/>
      <c r="I159" s="29">
        <f t="shared" ref="I159" si="150">I158*(1+$O$21)</f>
        <v>0</v>
      </c>
      <c r="J159" s="29">
        <v>52.05</v>
      </c>
      <c r="K159" s="29">
        <f t="shared" si="116"/>
        <v>50</v>
      </c>
      <c r="L159" s="29">
        <f t="shared" si="117"/>
        <v>100</v>
      </c>
      <c r="M159" s="2"/>
      <c r="N159" s="2">
        <f t="shared" si="83"/>
        <v>129</v>
      </c>
      <c r="O159" s="64">
        <f t="shared" si="118"/>
        <v>1</v>
      </c>
      <c r="P159" s="22">
        <f t="shared" si="124"/>
        <v>834.15</v>
      </c>
    </row>
    <row r="160" spans="4:16" x14ac:dyDescent="0.35">
      <c r="D160" s="19"/>
      <c r="E160" s="12"/>
      <c r="F160" s="12"/>
      <c r="G160" s="12">
        <f>'Emission factors'!C131*$E$5</f>
        <v>0</v>
      </c>
      <c r="H160" s="2"/>
      <c r="I160" s="29">
        <f t="shared" ref="I160" si="151">I159*(1+$O$21)</f>
        <v>0</v>
      </c>
      <c r="J160" s="29">
        <v>52.05</v>
      </c>
      <c r="K160" s="29">
        <f t="shared" ref="K160:K181" si="152">K159*(1+$O$21)</f>
        <v>50</v>
      </c>
      <c r="L160" s="29">
        <f t="shared" ref="L160:L181" si="153">L$31*O160</f>
        <v>100</v>
      </c>
      <c r="M160" s="2"/>
      <c r="N160" s="2">
        <f t="shared" si="83"/>
        <v>130</v>
      </c>
      <c r="O160" s="64">
        <f t="shared" ref="O160:O181" si="154">$O159*(1+$O$21)</f>
        <v>1</v>
      </c>
      <c r="P160" s="22">
        <f t="shared" si="124"/>
        <v>834.15</v>
      </c>
    </row>
    <row r="161" spans="4:16" x14ac:dyDescent="0.35">
      <c r="D161" s="19"/>
      <c r="E161" s="12"/>
      <c r="F161" s="12"/>
      <c r="G161" s="12">
        <f>'Emission factors'!C132*$E$5</f>
        <v>0</v>
      </c>
      <c r="H161" s="2"/>
      <c r="I161" s="29">
        <f t="shared" ref="I161" si="155">I160*(1+$O$21)</f>
        <v>0</v>
      </c>
      <c r="J161" s="29">
        <v>52.05</v>
      </c>
      <c r="K161" s="29">
        <f t="shared" si="152"/>
        <v>50</v>
      </c>
      <c r="L161" s="29">
        <f t="shared" si="153"/>
        <v>100</v>
      </c>
      <c r="M161" s="2"/>
      <c r="N161" s="2">
        <f t="shared" ref="N161:N181" si="156">N160+1</f>
        <v>131</v>
      </c>
      <c r="O161" s="64">
        <f t="shared" si="154"/>
        <v>1</v>
      </c>
      <c r="P161" s="22">
        <f t="shared" si="124"/>
        <v>834.15</v>
      </c>
    </row>
    <row r="162" spans="4:16" x14ac:dyDescent="0.35">
      <c r="D162" s="19"/>
      <c r="E162" s="12"/>
      <c r="F162" s="12"/>
      <c r="G162" s="12">
        <f>'Emission factors'!C133*$E$5</f>
        <v>0</v>
      </c>
      <c r="H162" s="2"/>
      <c r="I162" s="29">
        <f t="shared" ref="I162" si="157">I161*(1+$O$21)</f>
        <v>0</v>
      </c>
      <c r="J162" s="29">
        <v>52.05</v>
      </c>
      <c r="K162" s="29">
        <f t="shared" si="152"/>
        <v>50</v>
      </c>
      <c r="L162" s="29">
        <f t="shared" si="153"/>
        <v>100</v>
      </c>
      <c r="M162" s="2"/>
      <c r="N162" s="2">
        <f t="shared" si="156"/>
        <v>132</v>
      </c>
      <c r="O162" s="64">
        <f t="shared" si="154"/>
        <v>1</v>
      </c>
      <c r="P162" s="22">
        <f t="shared" si="124"/>
        <v>834.15</v>
      </c>
    </row>
    <row r="163" spans="4:16" x14ac:dyDescent="0.35">
      <c r="D163" s="19"/>
      <c r="E163" s="12"/>
      <c r="F163" s="12"/>
      <c r="G163" s="12">
        <f>'Emission factors'!C134*$E$5</f>
        <v>0</v>
      </c>
      <c r="H163" s="2"/>
      <c r="I163" s="29">
        <f t="shared" ref="I163" si="158">I162*(1+$O$21)</f>
        <v>0</v>
      </c>
      <c r="J163" s="29">
        <v>52.05</v>
      </c>
      <c r="K163" s="29">
        <f t="shared" si="152"/>
        <v>50</v>
      </c>
      <c r="L163" s="29">
        <f t="shared" si="153"/>
        <v>100</v>
      </c>
      <c r="M163" s="2"/>
      <c r="N163" s="2">
        <f t="shared" si="156"/>
        <v>133</v>
      </c>
      <c r="O163" s="64">
        <f t="shared" si="154"/>
        <v>1</v>
      </c>
      <c r="P163" s="22">
        <f t="shared" si="124"/>
        <v>834.15</v>
      </c>
    </row>
    <row r="164" spans="4:16" x14ac:dyDescent="0.35">
      <c r="D164" s="19"/>
      <c r="E164" s="12"/>
      <c r="F164" s="12"/>
      <c r="G164" s="12">
        <f>'Emission factors'!C135*$E$5</f>
        <v>0</v>
      </c>
      <c r="H164" s="2"/>
      <c r="I164" s="29">
        <f t="shared" ref="I164" si="159">I163*(1+$O$21)</f>
        <v>0</v>
      </c>
      <c r="J164" s="29">
        <v>52.05</v>
      </c>
      <c r="K164" s="29">
        <f t="shared" si="152"/>
        <v>50</v>
      </c>
      <c r="L164" s="29">
        <f t="shared" si="153"/>
        <v>100</v>
      </c>
      <c r="M164" s="2"/>
      <c r="N164" s="2">
        <f t="shared" si="156"/>
        <v>134</v>
      </c>
      <c r="O164" s="64">
        <f t="shared" si="154"/>
        <v>1</v>
      </c>
      <c r="P164" s="22">
        <f t="shared" si="124"/>
        <v>834.15</v>
      </c>
    </row>
    <row r="165" spans="4:16" x14ac:dyDescent="0.35">
      <c r="D165" s="19"/>
      <c r="E165" s="12"/>
      <c r="F165" s="12"/>
      <c r="G165" s="12">
        <f>'Emission factors'!C136*$E$5</f>
        <v>0</v>
      </c>
      <c r="H165" s="2"/>
      <c r="I165" s="29">
        <f t="shared" ref="I165" si="160">I164*(1+$O$21)</f>
        <v>0</v>
      </c>
      <c r="J165" s="29">
        <v>52.05</v>
      </c>
      <c r="K165" s="29">
        <f t="shared" si="152"/>
        <v>50</v>
      </c>
      <c r="L165" s="29">
        <f t="shared" si="153"/>
        <v>100</v>
      </c>
      <c r="M165" s="2"/>
      <c r="N165" s="2">
        <f t="shared" si="156"/>
        <v>135</v>
      </c>
      <c r="O165" s="64">
        <f t="shared" si="154"/>
        <v>1</v>
      </c>
      <c r="P165" s="22">
        <f t="shared" ref="P165:P182" si="161">($S$18*O63)*$E$5</f>
        <v>834.15</v>
      </c>
    </row>
    <row r="166" spans="4:16" x14ac:dyDescent="0.35">
      <c r="D166" s="19"/>
      <c r="E166" s="12"/>
      <c r="F166" s="12"/>
      <c r="G166" s="12">
        <f>'Emission factors'!C137*$E$5</f>
        <v>0</v>
      </c>
      <c r="H166" s="2"/>
      <c r="I166" s="29">
        <f t="shared" ref="I166" si="162">I165*(1+$O$21)</f>
        <v>0</v>
      </c>
      <c r="J166" s="29">
        <v>52.05</v>
      </c>
      <c r="K166" s="29">
        <f t="shared" si="152"/>
        <v>50</v>
      </c>
      <c r="L166" s="29">
        <f t="shared" si="153"/>
        <v>100</v>
      </c>
      <c r="M166" s="2"/>
      <c r="N166" s="2">
        <f t="shared" si="156"/>
        <v>136</v>
      </c>
      <c r="O166" s="64">
        <f t="shared" si="154"/>
        <v>1</v>
      </c>
      <c r="P166" s="22">
        <f t="shared" si="161"/>
        <v>834.15</v>
      </c>
    </row>
    <row r="167" spans="4:16" x14ac:dyDescent="0.35">
      <c r="D167" s="19"/>
      <c r="E167" s="12"/>
      <c r="F167" s="12"/>
      <c r="G167" s="12">
        <f>'Emission factors'!C138*$E$5</f>
        <v>0</v>
      </c>
      <c r="H167" s="2"/>
      <c r="I167" s="29">
        <f t="shared" ref="I167" si="163">I166*(1+$O$21)</f>
        <v>0</v>
      </c>
      <c r="J167" s="29">
        <v>52.05</v>
      </c>
      <c r="K167" s="29">
        <f t="shared" si="152"/>
        <v>50</v>
      </c>
      <c r="L167" s="29">
        <f t="shared" si="153"/>
        <v>100</v>
      </c>
      <c r="M167" s="2"/>
      <c r="N167" s="2">
        <f t="shared" si="156"/>
        <v>137</v>
      </c>
      <c r="O167" s="64">
        <f t="shared" si="154"/>
        <v>1</v>
      </c>
      <c r="P167" s="22">
        <f t="shared" si="161"/>
        <v>834.15</v>
      </c>
    </row>
    <row r="168" spans="4:16" x14ac:dyDescent="0.35">
      <c r="D168" s="19"/>
      <c r="E168" s="12"/>
      <c r="F168" s="12"/>
      <c r="G168" s="12">
        <f>'Emission factors'!C139*$E$5</f>
        <v>0</v>
      </c>
      <c r="H168" s="2"/>
      <c r="I168" s="29">
        <f t="shared" ref="I168" si="164">I167*(1+$O$21)</f>
        <v>0</v>
      </c>
      <c r="J168" s="29">
        <v>52.05</v>
      </c>
      <c r="K168" s="29">
        <f t="shared" si="152"/>
        <v>50</v>
      </c>
      <c r="L168" s="29">
        <f t="shared" si="153"/>
        <v>100</v>
      </c>
      <c r="M168" s="2"/>
      <c r="N168" s="2">
        <f t="shared" si="156"/>
        <v>138</v>
      </c>
      <c r="O168" s="64">
        <f t="shared" si="154"/>
        <v>1</v>
      </c>
      <c r="P168" s="22">
        <f t="shared" si="161"/>
        <v>834.15</v>
      </c>
    </row>
    <row r="169" spans="4:16" x14ac:dyDescent="0.35">
      <c r="D169" s="19"/>
      <c r="E169" s="12"/>
      <c r="F169" s="12"/>
      <c r="G169" s="12">
        <f>'Emission factors'!C140*$E$5</f>
        <v>0</v>
      </c>
      <c r="H169" s="2"/>
      <c r="I169" s="29">
        <f t="shared" ref="I169" si="165">I168*(1+$O$21)</f>
        <v>0</v>
      </c>
      <c r="J169" s="29">
        <v>52.05</v>
      </c>
      <c r="K169" s="29">
        <f t="shared" si="152"/>
        <v>50</v>
      </c>
      <c r="L169" s="29">
        <f t="shared" si="153"/>
        <v>100</v>
      </c>
      <c r="M169" s="2"/>
      <c r="N169" s="2">
        <f t="shared" si="156"/>
        <v>139</v>
      </c>
      <c r="O169" s="64">
        <f t="shared" si="154"/>
        <v>1</v>
      </c>
      <c r="P169" s="22">
        <f t="shared" si="161"/>
        <v>834.15</v>
      </c>
    </row>
    <row r="170" spans="4:16" x14ac:dyDescent="0.35">
      <c r="D170" s="19"/>
      <c r="E170" s="12"/>
      <c r="F170" s="12"/>
      <c r="G170" s="12">
        <f>'Emission factors'!C141*$E$5</f>
        <v>0</v>
      </c>
      <c r="H170" s="2"/>
      <c r="I170" s="29">
        <f t="shared" ref="I170" si="166">I169*(1+$O$21)</f>
        <v>0</v>
      </c>
      <c r="J170" s="29">
        <v>52.05</v>
      </c>
      <c r="K170" s="29">
        <f t="shared" si="152"/>
        <v>50</v>
      </c>
      <c r="L170" s="29">
        <f t="shared" si="153"/>
        <v>100</v>
      </c>
      <c r="M170" s="2"/>
      <c r="N170" s="2">
        <f t="shared" si="156"/>
        <v>140</v>
      </c>
      <c r="O170" s="64">
        <f t="shared" si="154"/>
        <v>1</v>
      </c>
      <c r="P170" s="22">
        <f t="shared" si="161"/>
        <v>834.15</v>
      </c>
    </row>
    <row r="171" spans="4:16" x14ac:dyDescent="0.35">
      <c r="D171" s="19"/>
      <c r="E171" s="12"/>
      <c r="F171" s="12"/>
      <c r="G171" s="12">
        <f>'Emission factors'!C142*$E$5</f>
        <v>0</v>
      </c>
      <c r="H171" s="2"/>
      <c r="I171" s="29">
        <f t="shared" ref="I171" si="167">I170*(1+$O$21)</f>
        <v>0</v>
      </c>
      <c r="J171" s="29">
        <v>52.05</v>
      </c>
      <c r="K171" s="29">
        <f t="shared" si="152"/>
        <v>50</v>
      </c>
      <c r="L171" s="29">
        <f t="shared" si="153"/>
        <v>100</v>
      </c>
      <c r="M171" s="2"/>
      <c r="N171" s="2">
        <f t="shared" si="156"/>
        <v>141</v>
      </c>
      <c r="O171" s="64">
        <f t="shared" si="154"/>
        <v>1</v>
      </c>
      <c r="P171" s="22">
        <f t="shared" si="161"/>
        <v>834.15</v>
      </c>
    </row>
    <row r="172" spans="4:16" x14ac:dyDescent="0.35">
      <c r="D172" s="19"/>
      <c r="E172" s="12"/>
      <c r="F172" s="12"/>
      <c r="G172" s="12">
        <f>'Emission factors'!C143*$E$5</f>
        <v>0</v>
      </c>
      <c r="H172" s="2"/>
      <c r="I172" s="29">
        <f t="shared" ref="I172" si="168">I171*(1+$O$21)</f>
        <v>0</v>
      </c>
      <c r="J172" s="29">
        <v>52.05</v>
      </c>
      <c r="K172" s="29">
        <f t="shared" si="152"/>
        <v>50</v>
      </c>
      <c r="L172" s="29">
        <f t="shared" si="153"/>
        <v>100</v>
      </c>
      <c r="M172" s="2"/>
      <c r="N172" s="2">
        <f t="shared" si="156"/>
        <v>142</v>
      </c>
      <c r="O172" s="64">
        <f t="shared" si="154"/>
        <v>1</v>
      </c>
      <c r="P172" s="22">
        <f t="shared" si="161"/>
        <v>834.15</v>
      </c>
    </row>
    <row r="173" spans="4:16" x14ac:dyDescent="0.35">
      <c r="D173" s="19"/>
      <c r="E173" s="12"/>
      <c r="F173" s="12"/>
      <c r="G173" s="12">
        <f>'Emission factors'!C144*$E$5</f>
        <v>0</v>
      </c>
      <c r="H173" s="2"/>
      <c r="I173" s="29">
        <f t="shared" ref="I173" si="169">I172*(1+$O$21)</f>
        <v>0</v>
      </c>
      <c r="J173" s="29">
        <v>52.05</v>
      </c>
      <c r="K173" s="29">
        <f t="shared" si="152"/>
        <v>50</v>
      </c>
      <c r="L173" s="29">
        <f t="shared" si="153"/>
        <v>100</v>
      </c>
      <c r="M173" s="2"/>
      <c r="N173" s="2">
        <f t="shared" si="156"/>
        <v>143</v>
      </c>
      <c r="O173" s="64">
        <f t="shared" si="154"/>
        <v>1</v>
      </c>
      <c r="P173" s="22">
        <f t="shared" si="161"/>
        <v>834.15</v>
      </c>
    </row>
    <row r="174" spans="4:16" x14ac:dyDescent="0.35">
      <c r="D174" s="19"/>
      <c r="E174" s="12"/>
      <c r="F174" s="12"/>
      <c r="G174" s="12">
        <f>'Emission factors'!C145*$E$5</f>
        <v>0</v>
      </c>
      <c r="H174" s="2"/>
      <c r="I174" s="29">
        <f t="shared" ref="I174" si="170">I173*(1+$O$21)</f>
        <v>0</v>
      </c>
      <c r="J174" s="29">
        <v>52.05</v>
      </c>
      <c r="K174" s="29">
        <f t="shared" si="152"/>
        <v>50</v>
      </c>
      <c r="L174" s="29">
        <f t="shared" si="153"/>
        <v>100</v>
      </c>
      <c r="M174" s="2"/>
      <c r="N174" s="2">
        <f t="shared" si="156"/>
        <v>144</v>
      </c>
      <c r="O174" s="64">
        <f t="shared" si="154"/>
        <v>1</v>
      </c>
      <c r="P174" s="22">
        <f t="shared" si="161"/>
        <v>834.15</v>
      </c>
    </row>
    <row r="175" spans="4:16" x14ac:dyDescent="0.35">
      <c r="D175" s="19"/>
      <c r="E175" s="12"/>
      <c r="F175" s="12"/>
      <c r="G175" s="12">
        <f>'Emission factors'!C146*$E$5</f>
        <v>0</v>
      </c>
      <c r="H175" s="2"/>
      <c r="I175" s="29">
        <f t="shared" ref="I175" si="171">I174*(1+$O$21)</f>
        <v>0</v>
      </c>
      <c r="J175" s="29">
        <v>52.05</v>
      </c>
      <c r="K175" s="29">
        <f t="shared" si="152"/>
        <v>50</v>
      </c>
      <c r="L175" s="29">
        <f t="shared" si="153"/>
        <v>100</v>
      </c>
      <c r="M175" s="2"/>
      <c r="N175" s="2">
        <f t="shared" si="156"/>
        <v>145</v>
      </c>
      <c r="O175" s="64">
        <f t="shared" si="154"/>
        <v>1</v>
      </c>
      <c r="P175" s="22">
        <f t="shared" si="161"/>
        <v>834.15</v>
      </c>
    </row>
    <row r="176" spans="4:16" x14ac:dyDescent="0.35">
      <c r="D176" s="19"/>
      <c r="E176" s="12"/>
      <c r="F176" s="12"/>
      <c r="G176" s="12">
        <f>'Emission factors'!C147*$E$5</f>
        <v>0</v>
      </c>
      <c r="H176" s="2"/>
      <c r="I176" s="29">
        <f t="shared" ref="I176" si="172">I175*(1+$O$21)</f>
        <v>0</v>
      </c>
      <c r="J176" s="29">
        <v>52.05</v>
      </c>
      <c r="K176" s="29">
        <f t="shared" si="152"/>
        <v>50</v>
      </c>
      <c r="L176" s="29">
        <f t="shared" si="153"/>
        <v>100</v>
      </c>
      <c r="M176" s="2"/>
      <c r="N176" s="2">
        <f t="shared" si="156"/>
        <v>146</v>
      </c>
      <c r="O176" s="64">
        <f t="shared" si="154"/>
        <v>1</v>
      </c>
      <c r="P176" s="22">
        <f t="shared" si="161"/>
        <v>834.15</v>
      </c>
    </row>
    <row r="177" spans="4:17" x14ac:dyDescent="0.35">
      <c r="D177" s="19"/>
      <c r="E177" s="12"/>
      <c r="F177" s="12"/>
      <c r="G177" s="12">
        <f>'Emission factors'!C148*$E$5</f>
        <v>0</v>
      </c>
      <c r="H177" s="2"/>
      <c r="I177" s="29">
        <f t="shared" ref="I177" si="173">I176*(1+$O$21)</f>
        <v>0</v>
      </c>
      <c r="J177" s="29">
        <v>52.05</v>
      </c>
      <c r="K177" s="29">
        <f t="shared" si="152"/>
        <v>50</v>
      </c>
      <c r="L177" s="29">
        <f t="shared" si="153"/>
        <v>100</v>
      </c>
      <c r="M177" s="2"/>
      <c r="N177" s="2">
        <f t="shared" si="156"/>
        <v>147</v>
      </c>
      <c r="O177" s="64">
        <f t="shared" si="154"/>
        <v>1</v>
      </c>
      <c r="P177" s="22">
        <f t="shared" si="161"/>
        <v>834.15</v>
      </c>
    </row>
    <row r="178" spans="4:17" x14ac:dyDescent="0.35">
      <c r="D178" s="19"/>
      <c r="E178" s="12"/>
      <c r="F178" s="12"/>
      <c r="G178" s="12">
        <f>'Emission factors'!C149*$E$5</f>
        <v>0</v>
      </c>
      <c r="H178" s="2"/>
      <c r="I178" s="29">
        <f t="shared" ref="I178" si="174">I177*(1+$O$21)</f>
        <v>0</v>
      </c>
      <c r="J178" s="29">
        <v>52.05</v>
      </c>
      <c r="K178" s="29">
        <f t="shared" si="152"/>
        <v>50</v>
      </c>
      <c r="L178" s="29">
        <f t="shared" si="153"/>
        <v>100</v>
      </c>
      <c r="M178" s="2"/>
      <c r="N178" s="2">
        <f t="shared" si="156"/>
        <v>148</v>
      </c>
      <c r="O178" s="64">
        <f t="shared" si="154"/>
        <v>1</v>
      </c>
      <c r="P178" s="22">
        <f t="shared" si="161"/>
        <v>834.15</v>
      </c>
    </row>
    <row r="179" spans="4:17" x14ac:dyDescent="0.35">
      <c r="D179" s="19"/>
      <c r="E179" s="12"/>
      <c r="F179" s="12"/>
      <c r="G179" s="12">
        <f>'Emission factors'!C150*$E$5</f>
        <v>0</v>
      </c>
      <c r="H179" s="2"/>
      <c r="I179" s="29">
        <f t="shared" ref="I179" si="175">I178*(1+$O$21)</f>
        <v>0</v>
      </c>
      <c r="J179" s="29">
        <v>52.05</v>
      </c>
      <c r="K179" s="29">
        <f t="shared" si="152"/>
        <v>50</v>
      </c>
      <c r="L179" s="29">
        <f t="shared" si="153"/>
        <v>100</v>
      </c>
      <c r="M179" s="2"/>
      <c r="N179" s="2">
        <f t="shared" si="156"/>
        <v>149</v>
      </c>
      <c r="O179" s="64">
        <f t="shared" si="154"/>
        <v>1</v>
      </c>
      <c r="P179" s="22">
        <f t="shared" si="161"/>
        <v>834.15</v>
      </c>
    </row>
    <row r="180" spans="4:17" x14ac:dyDescent="0.35">
      <c r="D180" s="19"/>
      <c r="E180" s="12"/>
      <c r="F180" s="12"/>
      <c r="G180" s="12">
        <f>'Emission factors'!C151*$E$5</f>
        <v>0</v>
      </c>
      <c r="H180" s="2"/>
      <c r="I180" s="29">
        <f t="shared" ref="I180" si="176">I179*(1+$O$21)</f>
        <v>0</v>
      </c>
      <c r="J180" s="29">
        <v>52.05</v>
      </c>
      <c r="K180" s="29">
        <f t="shared" si="152"/>
        <v>50</v>
      </c>
      <c r="L180" s="29">
        <f t="shared" si="153"/>
        <v>100</v>
      </c>
      <c r="M180" s="2"/>
      <c r="N180" s="2">
        <f t="shared" si="156"/>
        <v>150</v>
      </c>
      <c r="O180" s="64">
        <f t="shared" si="154"/>
        <v>1</v>
      </c>
      <c r="P180" s="22">
        <f t="shared" si="161"/>
        <v>834.15</v>
      </c>
    </row>
    <row r="181" spans="4:17" x14ac:dyDescent="0.35">
      <c r="D181" s="19"/>
      <c r="E181" s="12"/>
      <c r="F181" s="12"/>
      <c r="G181" s="12">
        <f>'Emission factors'!C152*$E$5</f>
        <v>0</v>
      </c>
      <c r="H181" s="2"/>
      <c r="I181" s="29">
        <f t="shared" ref="I181" si="177">I180*(1+$O$21)</f>
        <v>0</v>
      </c>
      <c r="J181" s="29">
        <v>52.05</v>
      </c>
      <c r="K181" s="29">
        <f t="shared" si="152"/>
        <v>50</v>
      </c>
      <c r="L181" s="29">
        <f t="shared" si="153"/>
        <v>100</v>
      </c>
      <c r="M181" s="2"/>
      <c r="N181" s="2">
        <f t="shared" si="156"/>
        <v>151</v>
      </c>
      <c r="O181" s="64">
        <f t="shared" si="154"/>
        <v>1</v>
      </c>
      <c r="P181" s="22">
        <f t="shared" si="161"/>
        <v>834.15</v>
      </c>
    </row>
    <row r="182" spans="4:17" x14ac:dyDescent="0.35">
      <c r="M182" s="2"/>
      <c r="P182" s="22">
        <f t="shared" si="161"/>
        <v>834.15</v>
      </c>
      <c r="Q182" s="44"/>
    </row>
  </sheetData>
  <mergeCells count="13">
    <mergeCell ref="G5:L5"/>
    <mergeCell ref="Q17:S17"/>
    <mergeCell ref="G6:I6"/>
    <mergeCell ref="Q22:R22"/>
    <mergeCell ref="A92:B92"/>
    <mergeCell ref="N18:P18"/>
    <mergeCell ref="J19:K19"/>
    <mergeCell ref="N17:P17"/>
    <mergeCell ref="G10:J10"/>
    <mergeCell ref="G14:K14"/>
    <mergeCell ref="J6:L6"/>
    <mergeCell ref="O22:P22"/>
    <mergeCell ref="G22:H22"/>
  </mergeCells>
  <dataValidations count="5">
    <dataValidation type="list" allowBlank="1" showInputMessage="1" showErrorMessage="1" sqref="E8" xr:uid="{7C97EC1C-2324-46DE-99F6-94583376E7FC}">
      <formula1>$B$93:$B$97</formula1>
    </dataValidation>
    <dataValidation type="list" allowBlank="1" showInputMessage="1" showErrorMessage="1" sqref="E24" xr:uid="{5101AAA3-DAA2-44A7-BBA8-9438318E0A0E}">
      <formula1>$B$110:$B$111</formula1>
    </dataValidation>
    <dataValidation type="list" allowBlank="1" showInputMessage="1" showErrorMessage="1" sqref="E25" xr:uid="{5157586C-1DD6-40AD-BC8C-DC64760E77F2}">
      <formula1>$B$104:$B$106</formula1>
    </dataValidation>
    <dataValidation type="list" allowBlank="1" showInputMessage="1" showErrorMessage="1" sqref="E10" xr:uid="{3C5F4326-6D1C-4ED0-ACA9-54AFA8EA4B8F}">
      <formula1>$B$113:$B$115</formula1>
    </dataValidation>
    <dataValidation type="list" allowBlank="1" showInputMessage="1" showErrorMessage="1" sqref="E22:E23" xr:uid="{117F48F5-A204-4379-9C3B-C45076825A77}">
      <formula1>$B$98:$B$99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5FD1828-3B83-4464-B928-E2E87DE57900}">
          <x14:formula1>
            <xm:f>'Farm data'!$A$16:$A$18</xm:f>
          </x14:formula1>
          <xm:sqref>L15</xm:sqref>
        </x14:dataValidation>
        <x14:dataValidation type="list" allowBlank="1" showInputMessage="1" showErrorMessage="1" xr:uid="{7091D21F-60DA-4917-9357-04E39FBBC7CB}">
          <x14:formula1>
            <xm:f>'Harvest calc'!$J$16:$J$24</xm:f>
          </x14:formula1>
          <xm:sqref>E26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BR345"/>
  <sheetViews>
    <sheetView zoomScaleNormal="100" workbookViewId="0">
      <pane xSplit="2" ySplit="2" topLeftCell="C3" activePane="bottomRight" state="frozen"/>
      <selection pane="topRight" activeCell="D14" sqref="D14"/>
      <selection pane="bottomLeft" activeCell="D14" sqref="D14"/>
      <selection pane="bottomRight" activeCell="D23" sqref="D23"/>
    </sheetView>
  </sheetViews>
  <sheetFormatPr defaultRowHeight="14.5" x14ac:dyDescent="0.35"/>
  <cols>
    <col min="1" max="1" width="35.81640625" customWidth="1"/>
    <col min="2" max="2" width="14.54296875" customWidth="1"/>
    <col min="3" max="3" width="21.26953125" customWidth="1"/>
    <col min="4" max="4" width="28.7265625" bestFit="1" customWidth="1"/>
    <col min="5" max="5" width="34.1796875" bestFit="1" customWidth="1"/>
    <col min="6" max="6" width="35" bestFit="1" customWidth="1"/>
    <col min="7" max="7" width="36.81640625" bestFit="1" customWidth="1"/>
    <col min="8" max="8" width="39.26953125" bestFit="1" customWidth="1"/>
    <col min="9" max="9" width="20.7265625" customWidth="1"/>
  </cols>
  <sheetData>
    <row r="1" spans="1:70" s="2" customFormat="1" x14ac:dyDescent="0.35">
      <c r="A1" s="3" t="s">
        <v>244</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1:70" s="1" customFormat="1" x14ac:dyDescent="0.35">
      <c r="A2" s="1" t="s">
        <v>245</v>
      </c>
      <c r="C2" s="40" t="s">
        <v>246</v>
      </c>
      <c r="D2" s="41" t="s">
        <v>247</v>
      </c>
      <c r="E2" s="41" t="s">
        <v>248</v>
      </c>
      <c r="F2" s="41" t="s">
        <v>249</v>
      </c>
      <c r="G2" s="41" t="s">
        <v>250</v>
      </c>
      <c r="H2" s="41" t="s">
        <v>251</v>
      </c>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row>
    <row r="3" spans="1:70" s="2" customFormat="1" x14ac:dyDescent="0.35">
      <c r="A3" s="2" t="s">
        <v>252</v>
      </c>
      <c r="B3" s="94" t="s">
        <v>253</v>
      </c>
      <c r="C3" s="224">
        <v>1400</v>
      </c>
      <c r="D3" s="225">
        <v>1400</v>
      </c>
      <c r="E3" s="225">
        <f>Assumptions!E6</f>
        <v>4000</v>
      </c>
      <c r="F3" s="225">
        <f>Assumptions!H12</f>
        <v>7000</v>
      </c>
      <c r="G3" s="225">
        <f>Assumptions!I12</f>
        <v>13750</v>
      </c>
      <c r="H3" s="226">
        <f>Assumptions!J12</f>
        <v>20000</v>
      </c>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row>
    <row r="4" spans="1:70" s="2" customFormat="1" x14ac:dyDescent="0.35">
      <c r="A4" s="3" t="s">
        <v>254</v>
      </c>
      <c r="B4" s="95"/>
      <c r="C4" s="160"/>
      <c r="D4" s="161"/>
      <c r="E4" s="72"/>
      <c r="F4" s="72"/>
      <c r="G4" s="72"/>
      <c r="H4" s="73"/>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row>
    <row r="5" spans="1:70" s="4" customFormat="1" x14ac:dyDescent="0.35">
      <c r="A5" s="4" t="s">
        <v>255</v>
      </c>
      <c r="B5" s="96" t="s">
        <v>256</v>
      </c>
      <c r="C5" s="163">
        <f>Assumptions!$E13</f>
        <v>0.1</v>
      </c>
      <c r="D5" s="162">
        <f>Assumptions!$E13</f>
        <v>0.1</v>
      </c>
      <c r="E5" s="158">
        <f>Assumptions!$E14</f>
        <v>0.06</v>
      </c>
      <c r="F5" s="158">
        <f>Assumptions!$E14</f>
        <v>0.06</v>
      </c>
      <c r="G5" s="158">
        <f>Assumptions!$E14</f>
        <v>0.06</v>
      </c>
      <c r="H5" s="227">
        <f>Assumptions!$E14</f>
        <v>0.06</v>
      </c>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row>
    <row r="6" spans="1:70" s="2" customFormat="1" x14ac:dyDescent="0.35">
      <c r="A6" s="2" t="s">
        <v>257</v>
      </c>
      <c r="B6" s="159" t="s">
        <v>256</v>
      </c>
      <c r="C6" s="164"/>
      <c r="D6" s="158">
        <f>Assumptions!$E$12</f>
        <v>6.4000000000000001E-2</v>
      </c>
      <c r="E6" s="164"/>
      <c r="F6" s="164"/>
      <c r="G6" s="164"/>
      <c r="H6" s="228"/>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row>
    <row r="7" spans="1:70" s="2" customFormat="1" x14ac:dyDescent="0.35">
      <c r="A7" s="2" t="s">
        <v>258</v>
      </c>
      <c r="B7" s="94" t="s">
        <v>139</v>
      </c>
      <c r="C7" s="249">
        <f>Assumptions!$E$5</f>
        <v>1</v>
      </c>
      <c r="D7" s="250">
        <v>1</v>
      </c>
      <c r="E7" s="250">
        <f>Assumptions!$E$5</f>
        <v>1</v>
      </c>
      <c r="F7" s="250">
        <f>Assumptions!$E$5</f>
        <v>1</v>
      </c>
      <c r="G7" s="250">
        <f>Assumptions!$E$5</f>
        <v>1</v>
      </c>
      <c r="H7" s="251">
        <f>Assumptions!$E$5</f>
        <v>1</v>
      </c>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70" s="2" customFormat="1" x14ac:dyDescent="0.35">
      <c r="A8" s="2" t="s">
        <v>259</v>
      </c>
      <c r="B8" s="94" t="s">
        <v>260</v>
      </c>
      <c r="C8" s="369" t="s">
        <v>223</v>
      </c>
      <c r="D8" s="369"/>
      <c r="E8" s="369"/>
      <c r="F8" s="369"/>
      <c r="G8" s="369"/>
      <c r="H8" s="369"/>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70" s="2" customFormat="1" x14ac:dyDescent="0.35">
      <c r="A9" s="2" t="s">
        <v>261</v>
      </c>
      <c r="B9" s="94" t="s">
        <v>144</v>
      </c>
      <c r="C9" s="83"/>
      <c r="D9" s="229"/>
      <c r="E9" s="229"/>
      <c r="F9" s="229"/>
      <c r="G9" s="229"/>
      <c r="H9" s="165"/>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70" s="2" customFormat="1" x14ac:dyDescent="0.35">
      <c r="A10" s="2" t="s">
        <v>262</v>
      </c>
      <c r="B10" s="94" t="s">
        <v>263</v>
      </c>
      <c r="C10" s="366" t="s">
        <v>235</v>
      </c>
      <c r="D10" s="367"/>
      <c r="E10" s="367"/>
      <c r="F10" s="367"/>
      <c r="G10" s="367"/>
      <c r="H10" s="368"/>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70" s="2" customFormat="1" x14ac:dyDescent="0.35">
      <c r="A11" s="2" t="s">
        <v>264</v>
      </c>
      <c r="B11" s="94" t="s">
        <v>263</v>
      </c>
      <c r="C11" s="84"/>
      <c r="D11" s="82" t="s">
        <v>238</v>
      </c>
      <c r="E11" s="230"/>
      <c r="F11" s="230"/>
      <c r="G11" s="86"/>
      <c r="H11" s="85"/>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70" s="2" customFormat="1" x14ac:dyDescent="0.35">
      <c r="A12" s="2" t="s">
        <v>265</v>
      </c>
      <c r="B12" s="94" t="s">
        <v>144</v>
      </c>
      <c r="C12" s="84"/>
      <c r="D12" s="230"/>
      <c r="E12" s="220"/>
      <c r="F12" s="221"/>
      <c r="G12" s="87"/>
      <c r="H12" s="22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70" s="5" customFormat="1" x14ac:dyDescent="0.35">
      <c r="A13" s="2" t="s">
        <v>267</v>
      </c>
      <c r="B13" s="94" t="s">
        <v>144</v>
      </c>
      <c r="C13" s="55"/>
      <c r="D13" s="82" t="s">
        <v>237</v>
      </c>
      <c r="E13" s="55"/>
      <c r="F13" s="55"/>
      <c r="G13" s="55"/>
      <c r="H13" s="88"/>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row>
    <row r="14" spans="1:70" x14ac:dyDescent="0.35">
      <c r="A14" s="3" t="s">
        <v>268</v>
      </c>
      <c r="B14" s="97" t="s">
        <v>269</v>
      </c>
      <c r="C14" s="89">
        <v>50</v>
      </c>
      <c r="D14" s="231">
        <f>Assumptions!E27</f>
        <v>28</v>
      </c>
      <c r="E14" s="232">
        <v>50</v>
      </c>
      <c r="F14" s="232">
        <v>50</v>
      </c>
      <c r="G14" s="232">
        <v>50</v>
      </c>
      <c r="H14" s="233">
        <v>50</v>
      </c>
      <c r="BR14" s="3"/>
    </row>
    <row r="15" spans="1:70" s="3" customFormat="1" x14ac:dyDescent="0.35">
      <c r="A15" s="4" t="s">
        <v>199</v>
      </c>
      <c r="B15" s="96" t="s">
        <v>220</v>
      </c>
      <c r="C15" s="121">
        <f ca="1">IF($C$10="Land cost",(SUMPRODUCT(OFFSET('Investment results'!C$24,0,0,C$14,1),OFFSET('Investment results'!C$128,0,0,C$14,1)))+Assumptions!$D$10,IF($C$10="Opportunity cost (farm returns)",(SUMPRODUCT(OFFSET('Investment results'!C$24,0,0,C$14,1),OFFSET('Investment results'!C$128,0,0,C$14,1)))+Assumptions!$D$8,SUMPRODUCT(OFFSET('Investment results'!C$24,0,0,C$14,1),OFFSET('Investment results'!C$128,0,0,C$14,1))))</f>
        <v>2418.6573680170172</v>
      </c>
      <c r="D15" s="121">
        <f ca="1">IF($C$10="Land cost",(SUMPRODUCT(OFFSET('Investment results'!D$76,0,0,D$14,1),OFFSET('Investment results'!D$128,0,0,D$14,1)))+Assumptions!$D$10,IF($C$10="Opportunity cost (farm returns)",(SUMPRODUCT(OFFSET('Investment results'!D$76,0,0,D$14,1),OFFSET('Investment results'!D$128,0,0,D$14,1)))+Assumptions!$D$8,SUMPRODUCT(OFFSET('Investment results'!D$76,0,0,D$14,1),OFFSET('Investment results'!D$128,0,0,D$14,1))))</f>
        <v>2704.2381195505081</v>
      </c>
      <c r="E15" s="121">
        <f ca="1">IF($C$10="Land cost",(SUMPRODUCT(OFFSET('Investment results'!E$24,0,0,E$14,1),OFFSET('Investment results'!E$128,0,0,E$14,1)))+Assumptions!$D$10,IF($C$10="Opportunity cost (farm returns)",(SUMPRODUCT(OFFSET('Investment results'!E$24,0,0,E$14,1),OFFSET('Investment results'!E$128,0,0,E$14,1)))+Assumptions!$D$8,SUMPRODUCT(OFFSET('Investment results'!E$24,0,0,E$14,1),OFFSET('Investment results'!E$128,0,0,E$14,1))))</f>
        <v>6596.3698460934193</v>
      </c>
      <c r="F15" s="121">
        <f ca="1">IF($C$10="Land cost",(SUMPRODUCT(OFFSET('Investment results'!F$24,0,0,F$14,1),OFFSET('Investment results'!F$128,0,0,F$14,1)))+Assumptions!$D$10,IF($C$10="Opportunity cost (farm returns)",(SUMPRODUCT(OFFSET('Investment results'!F$24,0,0,F$14,1),OFFSET('Investment results'!F$128,0,0,F$14,1)))+Assumptions!$D$8,SUMPRODUCT(OFFSET('Investment results'!F$24,0,0,F$14,1),OFFSET('Investment results'!F$128,0,0,F$14,1))))</f>
        <v>9596.3698460934265</v>
      </c>
      <c r="G15" s="121">
        <f ca="1">IF($C$10="Land cost",(SUMPRODUCT(OFFSET('Investment results'!G$24,0,0,G$14,1),OFFSET('Investment results'!G$128,0,0,G$14,1)))+Assumptions!$D$10,IF($C$10="Opportunity cost (farm returns)",(SUMPRODUCT(OFFSET('Investment results'!G$24,0,0,G$14,1),OFFSET('Investment results'!G$128,0,0,G$14,1)))+Assumptions!$D$8,SUMPRODUCT(OFFSET('Investment results'!G$24,0,0,G$14,1),OFFSET('Investment results'!G$128,0,0,G$14,1))))</f>
        <v>16346.36984609343</v>
      </c>
      <c r="H15" s="234">
        <f ca="1">IF($C$10="Land cost",(SUMPRODUCT(OFFSET('Investment results'!H$24,0,0,H$14,1),OFFSET('Investment results'!H$128,0,0,H$14,1)))+Assumptions!$D$10,IF($C$10="Opportunity cost (farm returns)",(SUMPRODUCT(OFFSET('Investment results'!H$24,0,0,H$14,1),OFFSET('Investment results'!H$128,0,0,H$14,1)))+Assumptions!$D$8,SUMPRODUCT(OFFSET('Investment results'!H$24,0,0,H$14,1),OFFSET('Investment results'!H$128,0,0,H$14,1))))</f>
        <v>22596.369846093432</v>
      </c>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4"/>
    </row>
    <row r="16" spans="1:70" s="4" customFormat="1" x14ac:dyDescent="0.35">
      <c r="A16" s="2" t="s">
        <v>194</v>
      </c>
      <c r="B16" s="94" t="s">
        <v>220</v>
      </c>
      <c r="C16" s="121" t="e">
        <f ca="1">SUMPRODUCT(OFFSET('Investment results'!C$24,0,0,C$14,1),OFFSET('Investment results'!C$180,0,0,C$14,1))</f>
        <v>#REF!</v>
      </c>
      <c r="D16" s="121" t="e">
        <f ca="1">IF(D11="Yes",((SUMPRODUCT(OFFSET('Investment results'!D$24,0,0,D$14+1,1),OFFSET('Investment results'!D$180,0,0,D$14+1,1)))+(SUMPRODUCT(OFFSET('Investment results'!D$76,0,0,D$14+1,1),OFFSET('Investment results'!D$232,0,0,D$14+1,1)))),(SUMPRODUCT(OFFSET('Investment results'!D$24,0,0,D$14,1),OFFSET('Investment results'!D$180,0,0,D$14,1))))</f>
        <v>#REF!</v>
      </c>
      <c r="E16" s="121" t="e">
        <f ca="1">SUMPRODUCT(OFFSET('Investment results'!E$24,0,0,E$14,1),OFFSET('Investment results'!E$180,0,0,E$14,1))</f>
        <v>#REF!</v>
      </c>
      <c r="F16" s="121" t="e">
        <f ca="1">SUMPRODUCT(OFFSET('Investment results'!F$24,0,0,F$14,1),OFFSET('Investment results'!F$180,0,0,F$14,1))</f>
        <v>#REF!</v>
      </c>
      <c r="G16" s="121" t="e">
        <f ca="1">SUMPRODUCT(OFFSET('Investment results'!G$24,0,0,G$14,1),OFFSET('Investment results'!G$180,0,0,G$14,1))</f>
        <v>#REF!</v>
      </c>
      <c r="H16" s="234" t="e">
        <f ca="1">SUMPRODUCT(OFFSET('Investment results'!H$24,0,0,H$14,1),OFFSET('Investment results'!H$180,0,0,H$14,1))</f>
        <v>#REF!</v>
      </c>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2"/>
    </row>
    <row r="17" spans="1:70" s="2" customFormat="1" x14ac:dyDescent="0.35">
      <c r="A17" s="2" t="s">
        <v>270</v>
      </c>
      <c r="B17" s="94" t="str">
        <f>Assumptions!E8</f>
        <v>Hard hill</v>
      </c>
      <c r="C17" s="235">
        <f ca="1">Assumptions!$R18</f>
        <v>3476.5160484890057</v>
      </c>
      <c r="D17" s="235">
        <f ca="1">Assumptions!$R18</f>
        <v>3476.5160484890057</v>
      </c>
      <c r="E17" s="235">
        <f ca="1">Assumptions!$R18</f>
        <v>3476.5160484890057</v>
      </c>
      <c r="F17" s="235">
        <f ca="1">Assumptions!$R18</f>
        <v>3476.5160484890057</v>
      </c>
      <c r="G17" s="235">
        <f ca="1">Assumptions!$R18</f>
        <v>3476.5160484890057</v>
      </c>
      <c r="H17" s="236">
        <f ca="1">Assumptions!$R18</f>
        <v>3476.5160484890057</v>
      </c>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row>
    <row r="18" spans="1:70" s="2" customFormat="1" x14ac:dyDescent="0.35">
      <c r="A18" s="4" t="s">
        <v>271</v>
      </c>
      <c r="B18" s="96" t="s">
        <v>220</v>
      </c>
      <c r="C18" s="237" t="e">
        <f t="shared" ref="C18:H18" ca="1" si="0">C16-C15</f>
        <v>#REF!</v>
      </c>
      <c r="D18" s="237" t="e">
        <f t="shared" ca="1" si="0"/>
        <v>#REF!</v>
      </c>
      <c r="E18" s="237" t="e">
        <f t="shared" ca="1" si="0"/>
        <v>#REF!</v>
      </c>
      <c r="F18" s="237" t="e">
        <f t="shared" ca="1" si="0"/>
        <v>#REF!</v>
      </c>
      <c r="G18" s="237" t="e">
        <f t="shared" ca="1" si="0"/>
        <v>#REF!</v>
      </c>
      <c r="H18" s="238" t="e">
        <f t="shared" ca="1" si="0"/>
        <v>#REF!</v>
      </c>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row>
    <row r="19" spans="1:70" s="2" customFormat="1" x14ac:dyDescent="0.35">
      <c r="A19" s="9" t="s">
        <v>272</v>
      </c>
      <c r="B19" s="98"/>
      <c r="C19" s="90" t="e">
        <f t="shared" ref="C19:H19" ca="1" si="1">C16/C15</f>
        <v>#REF!</v>
      </c>
      <c r="D19" s="91" t="e">
        <f t="shared" ca="1" si="1"/>
        <v>#REF!</v>
      </c>
      <c r="E19" s="91" t="e">
        <f t="shared" ca="1" si="1"/>
        <v>#REF!</v>
      </c>
      <c r="F19" s="91" t="e">
        <f t="shared" ca="1" si="1"/>
        <v>#REF!</v>
      </c>
      <c r="G19" s="91" t="e">
        <f t="shared" ca="1" si="1"/>
        <v>#REF!</v>
      </c>
      <c r="H19" s="92" t="e">
        <f t="shared" ca="1" si="1"/>
        <v>#REF!</v>
      </c>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s="9"/>
    </row>
    <row r="20" spans="1:70" s="9" customFormat="1" x14ac:dyDescent="0.35">
      <c r="A20" s="9" t="s">
        <v>273</v>
      </c>
      <c r="B20" s="98" t="s">
        <v>256</v>
      </c>
      <c r="C20" s="122" t="str">
        <f t="shared" ref="C20:H20" si="2">IFERROR(C285,"-")</f>
        <v>-</v>
      </c>
      <c r="D20" s="122" t="str">
        <f t="shared" si="2"/>
        <v>-</v>
      </c>
      <c r="E20" s="122" t="str">
        <f t="shared" si="2"/>
        <v>-</v>
      </c>
      <c r="F20" s="122" t="str">
        <f t="shared" si="2"/>
        <v>-</v>
      </c>
      <c r="G20" s="122" t="str">
        <f t="shared" si="2"/>
        <v>-</v>
      </c>
      <c r="H20" s="122" t="str">
        <f t="shared" si="2"/>
        <v>-</v>
      </c>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s="3"/>
    </row>
    <row r="21" spans="1:70" s="3" customFormat="1" x14ac:dyDescent="0.35">
      <c r="A21" s="51"/>
      <c r="B21" s="52"/>
      <c r="C21" s="53"/>
      <c r="D21" s="53"/>
      <c r="E21" s="53"/>
      <c r="F21" s="53"/>
      <c r="G21" s="53"/>
      <c r="H21" s="53"/>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row>
    <row r="22" spans="1:70" x14ac:dyDescent="0.35">
      <c r="A22" s="3" t="s">
        <v>274</v>
      </c>
      <c r="B22" s="2"/>
      <c r="C22" s="2"/>
      <c r="D22" s="2"/>
      <c r="E22" s="2"/>
      <c r="F22" s="2"/>
      <c r="G22" s="2"/>
      <c r="H22" s="2"/>
      <c r="BR22" s="2"/>
    </row>
    <row r="23" spans="1:70" s="2" customFormat="1" x14ac:dyDescent="0.35">
      <c r="A23" s="6" t="s">
        <v>275</v>
      </c>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row>
    <row r="24" spans="1:70" s="2" customFormat="1" x14ac:dyDescent="0.35">
      <c r="A24" s="4">
        <f ca="1">YEAR(TODAY())</f>
        <v>2025</v>
      </c>
      <c r="B24" s="4"/>
      <c r="C24" s="7">
        <f ca="1">1/((1+C$5)^($A24-$A$24))</f>
        <v>1</v>
      </c>
      <c r="D24" s="7">
        <f ca="1">1/((1+D$5)^($A24-$A$24))</f>
        <v>1</v>
      </c>
      <c r="E24" s="7">
        <f ca="1">1/((1+E$5)^($A24-$A$24))</f>
        <v>1</v>
      </c>
      <c r="F24" s="7">
        <f ca="1">1/((1+F$5)^($A24-$A$24))</f>
        <v>1</v>
      </c>
      <c r="G24" s="7">
        <f ca="1">1/((1+G$5)^($A24-$A$24))</f>
        <v>1</v>
      </c>
      <c r="H24" s="7">
        <f ca="1">1/((1+H$5)^($A24-$A$24))</f>
        <v>1</v>
      </c>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s="4"/>
    </row>
    <row r="25" spans="1:70" s="4" customFormat="1" x14ac:dyDescent="0.35">
      <c r="A25" s="2">
        <f ca="1">A24+1</f>
        <v>2026</v>
      </c>
      <c r="B25" s="2"/>
      <c r="C25" s="8">
        <f ca="1">1/((1+C$5)^($A25-$A$24))</f>
        <v>0.90909090909090906</v>
      </c>
      <c r="D25" s="8">
        <f ca="1">1/((1+D$5)^($A25-$A$24))</f>
        <v>0.90909090909090906</v>
      </c>
      <c r="E25" s="8">
        <f ca="1">1/((1+E$5)^($A25-$A$24))</f>
        <v>0.94339622641509424</v>
      </c>
      <c r="F25" s="8">
        <f ca="1">1/((1+F$5)^($A25-$A$24))</f>
        <v>0.94339622641509424</v>
      </c>
      <c r="G25" s="8">
        <f ca="1">1/((1+G$5)^($A25-$A$24))</f>
        <v>0.94339622641509424</v>
      </c>
      <c r="H25" s="8">
        <f ca="1">1/((1+H$5)^($A25-$A$24))</f>
        <v>0.94339622641509424</v>
      </c>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s="2"/>
    </row>
    <row r="26" spans="1:70" s="2" customFormat="1" x14ac:dyDescent="0.35">
      <c r="A26" s="2">
        <f t="shared" ref="A26:A56" ca="1" si="3">A25+1</f>
        <v>2027</v>
      </c>
      <c r="C26" s="8">
        <f ca="1">1/((1+C$5)^($A26-$A$24))</f>
        <v>0.82644628099173545</v>
      </c>
      <c r="D26" s="8">
        <f ca="1">1/((1+D$5)^($A26-$A$24))</f>
        <v>0.82644628099173545</v>
      </c>
      <c r="E26" s="8">
        <f ca="1">1/((1+E$5)^($A26-$A$24))</f>
        <v>0.88999644001423983</v>
      </c>
      <c r="F26" s="8">
        <f ca="1">1/((1+F$5)^($A26-$A$24))</f>
        <v>0.88999644001423983</v>
      </c>
      <c r="G26" s="8">
        <f ca="1">1/((1+G$5)^($A26-$A$24))</f>
        <v>0.88999644001423983</v>
      </c>
      <c r="H26" s="8">
        <f ca="1">1/((1+H$5)^($A26-$A$24))</f>
        <v>0.88999644001423983</v>
      </c>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row>
    <row r="27" spans="1:70" s="2" customFormat="1" x14ac:dyDescent="0.35">
      <c r="A27" s="2">
        <f t="shared" ca="1" si="3"/>
        <v>2028</v>
      </c>
      <c r="C27" s="8">
        <f ca="1">1/((1+C$5)^($A27-$A$24))</f>
        <v>0.75131480090157754</v>
      </c>
      <c r="D27" s="8">
        <f ca="1">1/((1+D$5)^($A27-$A$24))</f>
        <v>0.75131480090157754</v>
      </c>
      <c r="E27" s="8">
        <f ca="1">1/((1+E$5)^($A27-$A$24))</f>
        <v>0.8396192830323016</v>
      </c>
      <c r="F27" s="8">
        <f ca="1">1/((1+F$5)^($A27-$A$24))</f>
        <v>0.8396192830323016</v>
      </c>
      <c r="G27" s="8">
        <f ca="1">1/((1+G$5)^($A27-$A$24))</f>
        <v>0.8396192830323016</v>
      </c>
      <c r="H27" s="8">
        <f ca="1">1/((1+H$5)^($A27-$A$24))</f>
        <v>0.8396192830323016</v>
      </c>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row>
    <row r="28" spans="1:70" s="2" customFormat="1" x14ac:dyDescent="0.35">
      <c r="A28" s="2">
        <f t="shared" ca="1" si="3"/>
        <v>2029</v>
      </c>
      <c r="C28" s="8">
        <f ca="1">1/((1+C$5)^($A28-$A$24))</f>
        <v>0.68301345536507052</v>
      </c>
      <c r="D28" s="8">
        <f ca="1">1/((1+D$5)^($A28-$A$24))</f>
        <v>0.68301345536507052</v>
      </c>
      <c r="E28" s="8">
        <f ca="1">1/((1+E$5)^($A28-$A$24))</f>
        <v>0.79209366323802044</v>
      </c>
      <c r="F28" s="8">
        <f ca="1">1/((1+F$5)^($A28-$A$24))</f>
        <v>0.79209366323802044</v>
      </c>
      <c r="G28" s="8">
        <f ca="1">1/((1+G$5)^($A28-$A$24))</f>
        <v>0.79209366323802044</v>
      </c>
      <c r="H28" s="8">
        <f ca="1">1/((1+H$5)^($A28-$A$24))</f>
        <v>0.79209366323802044</v>
      </c>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row>
    <row r="29" spans="1:70" s="2" customFormat="1" x14ac:dyDescent="0.35">
      <c r="A29" s="2">
        <f t="shared" ca="1" si="3"/>
        <v>2030</v>
      </c>
      <c r="C29" s="8">
        <f ca="1">1/((1+C$5)^($A29-$A$24))</f>
        <v>0.62092132305915493</v>
      </c>
      <c r="D29" s="8">
        <f ca="1">1/((1+D$5)^($A29-$A$24))</f>
        <v>0.62092132305915493</v>
      </c>
      <c r="E29" s="8">
        <f ca="1">1/((1+E$5)^($A29-$A$24))</f>
        <v>0.74725817286605689</v>
      </c>
      <c r="F29" s="8">
        <f ca="1">1/((1+F$5)^($A29-$A$24))</f>
        <v>0.74725817286605689</v>
      </c>
      <c r="G29" s="8">
        <f ca="1">1/((1+G$5)^($A29-$A$24))</f>
        <v>0.74725817286605689</v>
      </c>
      <c r="H29" s="8">
        <f ca="1">1/((1+H$5)^($A29-$A$24))</f>
        <v>0.74725817286605689</v>
      </c>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row>
    <row r="30" spans="1:70" s="2" customFormat="1" x14ac:dyDescent="0.35">
      <c r="A30" s="2">
        <f t="shared" ca="1" si="3"/>
        <v>2031</v>
      </c>
      <c r="C30" s="8">
        <f ca="1">1/((1+C$5)^($A30-$A$24))</f>
        <v>0.56447393005377722</v>
      </c>
      <c r="D30" s="8">
        <f ca="1">1/((1+D$5)^($A30-$A$24))</f>
        <v>0.56447393005377722</v>
      </c>
      <c r="E30" s="8">
        <f ca="1">1/((1+E$5)^($A30-$A$24))</f>
        <v>0.70496054043967626</v>
      </c>
      <c r="F30" s="8">
        <f ca="1">1/((1+F$5)^($A30-$A$24))</f>
        <v>0.70496054043967626</v>
      </c>
      <c r="G30" s="8">
        <f ca="1">1/((1+G$5)^($A30-$A$24))</f>
        <v>0.70496054043967626</v>
      </c>
      <c r="H30" s="8">
        <f ca="1">1/((1+H$5)^($A30-$A$24))</f>
        <v>0.70496054043967626</v>
      </c>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row>
    <row r="31" spans="1:70" s="2" customFormat="1" x14ac:dyDescent="0.35">
      <c r="A31" s="2">
        <f t="shared" ca="1" si="3"/>
        <v>2032</v>
      </c>
      <c r="C31" s="8">
        <f ca="1">1/((1+C$5)^($A31-$A$24))</f>
        <v>0.51315811823070645</v>
      </c>
      <c r="D31" s="8">
        <f ca="1">1/((1+D$5)^($A31-$A$24))</f>
        <v>0.51315811823070645</v>
      </c>
      <c r="E31" s="8">
        <f ca="1">1/((1+E$5)^($A31-$A$24))</f>
        <v>0.66505711362233599</v>
      </c>
      <c r="F31" s="8">
        <f ca="1">1/((1+F$5)^($A31-$A$24))</f>
        <v>0.66505711362233599</v>
      </c>
      <c r="G31" s="8">
        <f ca="1">1/((1+G$5)^($A31-$A$24))</f>
        <v>0.66505711362233599</v>
      </c>
      <c r="H31" s="8">
        <f ca="1">1/((1+H$5)^($A31-$A$24))</f>
        <v>0.66505711362233599</v>
      </c>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row>
    <row r="32" spans="1:70" s="2" customFormat="1" x14ac:dyDescent="0.35">
      <c r="A32" s="2">
        <f t="shared" ca="1" si="3"/>
        <v>2033</v>
      </c>
      <c r="C32" s="8">
        <f ca="1">1/((1+C$5)^($A32-$A$24))</f>
        <v>0.46650738020973315</v>
      </c>
      <c r="D32" s="8">
        <f ca="1">1/((1+D$5)^($A32-$A$24))</f>
        <v>0.46650738020973315</v>
      </c>
      <c r="E32" s="8">
        <f ca="1">1/((1+E$5)^($A32-$A$24))</f>
        <v>0.62741237134182648</v>
      </c>
      <c r="F32" s="8">
        <f ca="1">1/((1+F$5)^($A32-$A$24))</f>
        <v>0.62741237134182648</v>
      </c>
      <c r="G32" s="8">
        <f ca="1">1/((1+G$5)^($A32-$A$24))</f>
        <v>0.62741237134182648</v>
      </c>
      <c r="H32" s="8">
        <f ca="1">1/((1+H$5)^($A32-$A$24))</f>
        <v>0.62741237134182648</v>
      </c>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row>
    <row r="33" spans="1:69" s="2" customFormat="1" x14ac:dyDescent="0.35">
      <c r="A33" s="2">
        <f t="shared" ca="1" si="3"/>
        <v>2034</v>
      </c>
      <c r="C33" s="8">
        <f ca="1">1/((1+C$5)^($A33-$A$24))</f>
        <v>0.42409761837248466</v>
      </c>
      <c r="D33" s="8">
        <f ca="1">1/((1+D$5)^($A33-$A$24))</f>
        <v>0.42409761837248466</v>
      </c>
      <c r="E33" s="8">
        <f ca="1">1/((1+E$5)^($A33-$A$24))</f>
        <v>0.59189846353002495</v>
      </c>
      <c r="F33" s="8">
        <f ca="1">1/((1+F$5)^($A33-$A$24))</f>
        <v>0.59189846353002495</v>
      </c>
      <c r="G33" s="8">
        <f ca="1">1/((1+G$5)^($A33-$A$24))</f>
        <v>0.59189846353002495</v>
      </c>
      <c r="H33" s="8">
        <f ca="1">1/((1+H$5)^($A33-$A$24))</f>
        <v>0.59189846353002495</v>
      </c>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row>
    <row r="34" spans="1:69" s="2" customFormat="1" x14ac:dyDescent="0.35">
      <c r="A34" s="2">
        <f t="shared" ca="1" si="3"/>
        <v>2035</v>
      </c>
      <c r="C34" s="8">
        <f ca="1">1/((1+C$5)^($A34-$A$24))</f>
        <v>0.38554328942953148</v>
      </c>
      <c r="D34" s="8">
        <f ca="1">1/((1+D$5)^($A34-$A$24))</f>
        <v>0.38554328942953148</v>
      </c>
      <c r="E34" s="8">
        <f ca="1">1/((1+E$5)^($A34-$A$24))</f>
        <v>0.55839477691511785</v>
      </c>
      <c r="F34" s="8">
        <f ca="1">1/((1+F$5)^($A34-$A$24))</f>
        <v>0.55839477691511785</v>
      </c>
      <c r="G34" s="8">
        <f ca="1">1/((1+G$5)^($A34-$A$24))</f>
        <v>0.55839477691511785</v>
      </c>
      <c r="H34" s="8">
        <f ca="1">1/((1+H$5)^($A34-$A$24))</f>
        <v>0.55839477691511785</v>
      </c>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row>
    <row r="35" spans="1:69" s="2" customFormat="1" x14ac:dyDescent="0.35">
      <c r="A35" s="2">
        <f t="shared" ca="1" si="3"/>
        <v>2036</v>
      </c>
      <c r="C35" s="8">
        <f ca="1">1/((1+C$5)^($A35-$A$24))</f>
        <v>0.3504938994813922</v>
      </c>
      <c r="D35" s="8">
        <f ca="1">1/((1+D$5)^($A35-$A$24))</f>
        <v>0.3504938994813922</v>
      </c>
      <c r="E35" s="8">
        <f ca="1">1/((1+E$5)^($A35-$A$24))</f>
        <v>0.52678752539162055</v>
      </c>
      <c r="F35" s="8">
        <f ca="1">1/((1+F$5)^($A35-$A$24))</f>
        <v>0.52678752539162055</v>
      </c>
      <c r="G35" s="8">
        <f ca="1">1/((1+G$5)^($A35-$A$24))</f>
        <v>0.52678752539162055</v>
      </c>
      <c r="H35" s="8">
        <f ca="1">1/((1+H$5)^($A35-$A$24))</f>
        <v>0.52678752539162055</v>
      </c>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69" s="2" customFormat="1" x14ac:dyDescent="0.35">
      <c r="A36" s="2">
        <f t="shared" ca="1" si="3"/>
        <v>2037</v>
      </c>
      <c r="C36" s="8">
        <f ca="1">1/((1+C$5)^($A36-$A$24))</f>
        <v>0.31863081771035656</v>
      </c>
      <c r="D36" s="8">
        <f ca="1">1/((1+D$5)^($A36-$A$24))</f>
        <v>0.31863081771035656</v>
      </c>
      <c r="E36" s="8">
        <f ca="1">1/((1+E$5)^($A36-$A$24))</f>
        <v>0.4969693635770005</v>
      </c>
      <c r="F36" s="8">
        <f ca="1">1/((1+F$5)^($A36-$A$24))</f>
        <v>0.4969693635770005</v>
      </c>
      <c r="G36" s="8">
        <f ca="1">1/((1+G$5)^($A36-$A$24))</f>
        <v>0.4969693635770005</v>
      </c>
      <c r="H36" s="8">
        <f ca="1">1/((1+H$5)^($A36-$A$24))</f>
        <v>0.4969693635770005</v>
      </c>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row>
    <row r="37" spans="1:69" s="2" customFormat="1" x14ac:dyDescent="0.35">
      <c r="A37" s="2">
        <f t="shared" ca="1" si="3"/>
        <v>2038</v>
      </c>
      <c r="C37" s="8">
        <f ca="1">1/((1+C$5)^($A37-$A$24))</f>
        <v>0.28966437973668779</v>
      </c>
      <c r="D37" s="8">
        <f ca="1">1/((1+D$5)^($A37-$A$24))</f>
        <v>0.28966437973668779</v>
      </c>
      <c r="E37" s="8">
        <f ca="1">1/((1+E$5)^($A37-$A$24))</f>
        <v>0.46883902224245327</v>
      </c>
      <c r="F37" s="8">
        <f ca="1">1/((1+F$5)^($A37-$A$24))</f>
        <v>0.46883902224245327</v>
      </c>
      <c r="G37" s="8">
        <f ca="1">1/((1+G$5)^($A37-$A$24))</f>
        <v>0.46883902224245327</v>
      </c>
      <c r="H37" s="8">
        <f ca="1">1/((1+H$5)^($A37-$A$24))</f>
        <v>0.46883902224245327</v>
      </c>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row>
    <row r="38" spans="1:69" s="2" customFormat="1" x14ac:dyDescent="0.35">
      <c r="A38" s="2">
        <f t="shared" ca="1" si="3"/>
        <v>2039</v>
      </c>
      <c r="C38" s="8">
        <f ca="1">1/((1+C$5)^($A38-$A$24))</f>
        <v>0.26333125430607973</v>
      </c>
      <c r="D38" s="8">
        <f ca="1">1/((1+D$5)^($A38-$A$24))</f>
        <v>0.26333125430607973</v>
      </c>
      <c r="E38" s="8">
        <f ca="1">1/((1+E$5)^($A38-$A$24))</f>
        <v>0.44230096437967292</v>
      </c>
      <c r="F38" s="8">
        <f ca="1">1/((1+F$5)^($A38-$A$24))</f>
        <v>0.44230096437967292</v>
      </c>
      <c r="G38" s="8">
        <f ca="1">1/((1+G$5)^($A38-$A$24))</f>
        <v>0.44230096437967292</v>
      </c>
      <c r="H38" s="8">
        <f ca="1">1/((1+H$5)^($A38-$A$24))</f>
        <v>0.44230096437967292</v>
      </c>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row>
    <row r="39" spans="1:69" s="2" customFormat="1" x14ac:dyDescent="0.35">
      <c r="A39" s="2">
        <f t="shared" ca="1" si="3"/>
        <v>2040</v>
      </c>
      <c r="C39" s="8">
        <f ca="1">1/((1+C$5)^($A39-$A$24))</f>
        <v>0.23939204936916339</v>
      </c>
      <c r="D39" s="8">
        <f ca="1">1/((1+D$5)^($A39-$A$24))</f>
        <v>0.23939204936916339</v>
      </c>
      <c r="E39" s="8">
        <f ca="1">1/((1+E$5)^($A39-$A$24))</f>
        <v>0.41726506073554037</v>
      </c>
      <c r="F39" s="8">
        <f ca="1">1/((1+F$5)^($A39-$A$24))</f>
        <v>0.41726506073554037</v>
      </c>
      <c r="G39" s="8">
        <f ca="1">1/((1+G$5)^($A39-$A$24))</f>
        <v>0.41726506073554037</v>
      </c>
      <c r="H39" s="8">
        <f ca="1">1/((1+H$5)^($A39-$A$24))</f>
        <v>0.41726506073554037</v>
      </c>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row>
    <row r="40" spans="1:69" s="2" customFormat="1" x14ac:dyDescent="0.35">
      <c r="A40" s="2">
        <f t="shared" ca="1" si="3"/>
        <v>2041</v>
      </c>
      <c r="C40" s="8">
        <f ca="1">1/((1+C$5)^($A40-$A$24))</f>
        <v>0.21762913579014853</v>
      </c>
      <c r="D40" s="8">
        <f ca="1">1/((1+D$5)^($A40-$A$24))</f>
        <v>0.21762913579014853</v>
      </c>
      <c r="E40" s="8">
        <f ca="1">1/((1+E$5)^($A40-$A$24))</f>
        <v>0.39364628371277405</v>
      </c>
      <c r="F40" s="8">
        <f ca="1">1/((1+F$5)^($A40-$A$24))</f>
        <v>0.39364628371277405</v>
      </c>
      <c r="G40" s="8">
        <f ca="1">1/((1+G$5)^($A40-$A$24))</f>
        <v>0.39364628371277405</v>
      </c>
      <c r="H40" s="8">
        <f ca="1">1/((1+H$5)^($A40-$A$24))</f>
        <v>0.39364628371277405</v>
      </c>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row>
    <row r="41" spans="1:69" s="2" customFormat="1" x14ac:dyDescent="0.35">
      <c r="A41" s="2">
        <f t="shared" ca="1" si="3"/>
        <v>2042</v>
      </c>
      <c r="C41" s="8">
        <f ca="1">1/((1+C$5)^($A41-$A$24))</f>
        <v>0.19784466890013502</v>
      </c>
      <c r="D41" s="8">
        <f ca="1">1/((1+D$5)^($A41-$A$24))</f>
        <v>0.19784466890013502</v>
      </c>
      <c r="E41" s="8">
        <f ca="1">1/((1+E$5)^($A41-$A$24))</f>
        <v>0.37136441859695657</v>
      </c>
      <c r="F41" s="8">
        <f ca="1">1/((1+F$5)^($A41-$A$24))</f>
        <v>0.37136441859695657</v>
      </c>
      <c r="G41" s="8">
        <f ca="1">1/((1+G$5)^($A41-$A$24))</f>
        <v>0.37136441859695657</v>
      </c>
      <c r="H41" s="8">
        <f ca="1">1/((1+H$5)^($A41-$A$24))</f>
        <v>0.37136441859695657</v>
      </c>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row>
    <row r="42" spans="1:69" s="2" customFormat="1" x14ac:dyDescent="0.35">
      <c r="A42" s="2">
        <f t="shared" ca="1" si="3"/>
        <v>2043</v>
      </c>
      <c r="C42" s="8">
        <f ca="1">1/((1+C$5)^($A42-$A$24))</f>
        <v>0.17985878990921364</v>
      </c>
      <c r="D42" s="8">
        <f ca="1">1/((1+D$5)^($A42-$A$24))</f>
        <v>0.17985878990921364</v>
      </c>
      <c r="E42" s="8">
        <f ca="1">1/((1+E$5)^($A42-$A$24))</f>
        <v>0.35034379112920433</v>
      </c>
      <c r="F42" s="8">
        <f ca="1">1/((1+F$5)^($A42-$A$24))</f>
        <v>0.35034379112920433</v>
      </c>
      <c r="G42" s="8">
        <f ca="1">1/((1+G$5)^($A42-$A$24))</f>
        <v>0.35034379112920433</v>
      </c>
      <c r="H42" s="8">
        <f ca="1">1/((1+H$5)^($A42-$A$24))</f>
        <v>0.35034379112920433</v>
      </c>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row>
    <row r="43" spans="1:69" s="2" customFormat="1" x14ac:dyDescent="0.35">
      <c r="A43" s="2">
        <f t="shared" ca="1" si="3"/>
        <v>2044</v>
      </c>
      <c r="C43" s="8">
        <f ca="1">1/((1+C$5)^($A43-$A$24))</f>
        <v>0.16350799082655781</v>
      </c>
      <c r="D43" s="8">
        <f ca="1">1/((1+D$5)^($A43-$A$24))</f>
        <v>0.16350799082655781</v>
      </c>
      <c r="E43" s="8">
        <f ca="1">1/((1+E$5)^($A43-$A$24))</f>
        <v>0.3305130104992493</v>
      </c>
      <c r="F43" s="8">
        <f ca="1">1/((1+F$5)^($A43-$A$24))</f>
        <v>0.3305130104992493</v>
      </c>
      <c r="G43" s="8">
        <f ca="1">1/((1+G$5)^($A43-$A$24))</f>
        <v>0.3305130104992493</v>
      </c>
      <c r="H43" s="8">
        <f ca="1">1/((1+H$5)^($A43-$A$24))</f>
        <v>0.3305130104992493</v>
      </c>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row>
    <row r="44" spans="1:69" s="2" customFormat="1" x14ac:dyDescent="0.35">
      <c r="A44" s="2">
        <f t="shared" ca="1" si="3"/>
        <v>2045</v>
      </c>
      <c r="C44" s="8">
        <f ca="1">1/((1+C$5)^($A44-$A$24))</f>
        <v>0.14864362802414349</v>
      </c>
      <c r="D44" s="8">
        <f ca="1">1/((1+D$5)^($A44-$A$24))</f>
        <v>0.14864362802414349</v>
      </c>
      <c r="E44" s="8">
        <f ca="1">1/((1+E$5)^($A44-$A$24))</f>
        <v>0.31180472688608429</v>
      </c>
      <c r="F44" s="8">
        <f ca="1">1/((1+F$5)^($A44-$A$24))</f>
        <v>0.31180472688608429</v>
      </c>
      <c r="G44" s="8">
        <f ca="1">1/((1+G$5)^($A44-$A$24))</f>
        <v>0.31180472688608429</v>
      </c>
      <c r="H44" s="8">
        <f ca="1">1/((1+H$5)^($A44-$A$24))</f>
        <v>0.31180472688608429</v>
      </c>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row>
    <row r="45" spans="1:69" s="2" customFormat="1" x14ac:dyDescent="0.35">
      <c r="A45" s="2">
        <f t="shared" ca="1" si="3"/>
        <v>2046</v>
      </c>
      <c r="C45" s="8">
        <f ca="1">1/((1+C$5)^($A45-$A$24))</f>
        <v>0.13513057093103953</v>
      </c>
      <c r="D45" s="8">
        <f ca="1">1/((1+D$5)^($A45-$A$24))</f>
        <v>0.13513057093103953</v>
      </c>
      <c r="E45" s="8">
        <f ca="1">1/((1+E$5)^($A45-$A$24))</f>
        <v>0.29415540272272095</v>
      </c>
      <c r="F45" s="8">
        <f ca="1">1/((1+F$5)^($A45-$A$24))</f>
        <v>0.29415540272272095</v>
      </c>
      <c r="G45" s="8">
        <f ca="1">1/((1+G$5)^($A45-$A$24))</f>
        <v>0.29415540272272095</v>
      </c>
      <c r="H45" s="8">
        <f ca="1">1/((1+H$5)^($A45-$A$24))</f>
        <v>0.29415540272272095</v>
      </c>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row>
    <row r="46" spans="1:69" s="2" customFormat="1" x14ac:dyDescent="0.35">
      <c r="A46" s="2">
        <f t="shared" ca="1" si="3"/>
        <v>2047</v>
      </c>
      <c r="C46" s="8">
        <f ca="1">1/((1+C$5)^($A46-$A$24))</f>
        <v>0.12284597357367227</v>
      </c>
      <c r="D46" s="8">
        <f ca="1">1/((1+D$5)^($A46-$A$24))</f>
        <v>0.12284597357367227</v>
      </c>
      <c r="E46" s="8">
        <f ca="1">1/((1+E$5)^($A46-$A$24))</f>
        <v>0.27750509690822728</v>
      </c>
      <c r="F46" s="8">
        <f ca="1">1/((1+F$5)^($A46-$A$24))</f>
        <v>0.27750509690822728</v>
      </c>
      <c r="G46" s="8">
        <f ca="1">1/((1+G$5)^($A46-$A$24))</f>
        <v>0.27750509690822728</v>
      </c>
      <c r="H46" s="8">
        <f ca="1">1/((1+H$5)^($A46-$A$24))</f>
        <v>0.27750509690822728</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row>
    <row r="47" spans="1:69" s="2" customFormat="1" x14ac:dyDescent="0.35">
      <c r="A47" s="2">
        <f t="shared" ca="1" si="3"/>
        <v>2048</v>
      </c>
      <c r="C47" s="8">
        <f ca="1">1/((1+C$5)^($A47-$A$24))</f>
        <v>0.11167815779424752</v>
      </c>
      <c r="D47" s="8">
        <f ca="1">1/((1+D$5)^($A47-$A$24))</f>
        <v>0.11167815779424752</v>
      </c>
      <c r="E47" s="8">
        <f ca="1">1/((1+E$5)^($A47-$A$24))</f>
        <v>0.26179726123417668</v>
      </c>
      <c r="F47" s="8">
        <f ca="1">1/((1+F$5)^($A47-$A$24))</f>
        <v>0.26179726123417668</v>
      </c>
      <c r="G47" s="8">
        <f ca="1">1/((1+G$5)^($A47-$A$24))</f>
        <v>0.26179726123417668</v>
      </c>
      <c r="H47" s="8">
        <f ca="1">1/((1+H$5)^($A47-$A$24))</f>
        <v>0.26179726123417668</v>
      </c>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row>
    <row r="48" spans="1:69" s="2" customFormat="1" x14ac:dyDescent="0.35">
      <c r="A48" s="2">
        <f t="shared" ca="1" si="3"/>
        <v>2049</v>
      </c>
      <c r="C48" s="8">
        <f ca="1">1/((1+C$5)^($A48-$A$24))</f>
        <v>0.10152559799477048</v>
      </c>
      <c r="D48" s="8">
        <f ca="1">1/((1+D$5)^($A48-$A$24))</f>
        <v>0.10152559799477048</v>
      </c>
      <c r="E48" s="8">
        <f ca="1">1/((1+E$5)^($A48-$A$24))</f>
        <v>0.24697854833412897</v>
      </c>
      <c r="F48" s="8">
        <f ca="1">1/((1+F$5)^($A48-$A$24))</f>
        <v>0.24697854833412897</v>
      </c>
      <c r="G48" s="8">
        <f ca="1">1/((1+G$5)^($A48-$A$24))</f>
        <v>0.24697854833412897</v>
      </c>
      <c r="H48" s="8">
        <f ca="1">1/((1+H$5)^($A48-$A$24))</f>
        <v>0.24697854833412897</v>
      </c>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row>
    <row r="49" spans="1:70" s="2" customFormat="1" x14ac:dyDescent="0.35">
      <c r="A49" s="2">
        <f t="shared" ca="1" si="3"/>
        <v>2050</v>
      </c>
      <c r="C49" s="8">
        <f ca="1">1/((1+C$5)^($A49-$A$24))</f>
        <v>9.2295998177064048E-2</v>
      </c>
      <c r="D49" s="8">
        <f ca="1">1/((1+D$5)^($A49-$A$24))</f>
        <v>9.2295998177064048E-2</v>
      </c>
      <c r="E49" s="8">
        <f ca="1">1/((1+E$5)^($A49-$A$24))</f>
        <v>0.23299863050389524</v>
      </c>
      <c r="F49" s="8">
        <f ca="1">1/((1+F$5)^($A49-$A$24))</f>
        <v>0.23299863050389524</v>
      </c>
      <c r="G49" s="8">
        <f ca="1">1/((1+G$5)^($A49-$A$24))</f>
        <v>0.23299863050389524</v>
      </c>
      <c r="H49" s="8">
        <f ca="1">1/((1+H$5)^($A49-$A$24))</f>
        <v>0.23299863050389524</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row>
    <row r="50" spans="1:70" s="2" customFormat="1" x14ac:dyDescent="0.35">
      <c r="A50" s="2">
        <f t="shared" ca="1" si="3"/>
        <v>2051</v>
      </c>
      <c r="C50" s="8">
        <f ca="1">1/((1+C$5)^($A50-$A$24))</f>
        <v>8.3905452888240042E-2</v>
      </c>
      <c r="D50" s="8">
        <f ca="1">1/((1+D$5)^($A50-$A$24))</f>
        <v>8.3905452888240042E-2</v>
      </c>
      <c r="E50" s="8">
        <f ca="1">1/((1+E$5)^($A50-$A$24))</f>
        <v>0.21981002877725966</v>
      </c>
      <c r="F50" s="8">
        <f ca="1">1/((1+F$5)^($A50-$A$24))</f>
        <v>0.21981002877725966</v>
      </c>
      <c r="G50" s="8">
        <f ca="1">1/((1+G$5)^($A50-$A$24))</f>
        <v>0.21981002877725966</v>
      </c>
      <c r="H50" s="8">
        <f ca="1">1/((1+H$5)^($A50-$A$24))</f>
        <v>0.21981002877725966</v>
      </c>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row>
    <row r="51" spans="1:70" s="2" customFormat="1" x14ac:dyDescent="0.35">
      <c r="A51" s="2">
        <f t="shared" ca="1" si="3"/>
        <v>2052</v>
      </c>
      <c r="C51" s="8">
        <f ca="1">1/((1+C$5)^($A51-$A$24))</f>
        <v>7.6277684443854576E-2</v>
      </c>
      <c r="D51" s="8">
        <f ca="1">1/((1+D$5)^($A51-$A$24))</f>
        <v>7.6277684443854576E-2</v>
      </c>
      <c r="E51" s="8">
        <f ca="1">1/((1+E$5)^($A51-$A$24))</f>
        <v>0.20736795167666003</v>
      </c>
      <c r="F51" s="8">
        <f ca="1">1/((1+F$5)^($A51-$A$24))</f>
        <v>0.20736795167666003</v>
      </c>
      <c r="G51" s="8">
        <f ca="1">1/((1+G$5)^($A51-$A$24))</f>
        <v>0.20736795167666003</v>
      </c>
      <c r="H51" s="8">
        <f ca="1">1/((1+H$5)^($A51-$A$24))</f>
        <v>0.20736795167666003</v>
      </c>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row>
    <row r="52" spans="1:70" s="2" customFormat="1" x14ac:dyDescent="0.35">
      <c r="A52" s="2">
        <f t="shared" ca="1" si="3"/>
        <v>2053</v>
      </c>
      <c r="C52" s="31">
        <f ca="1">1/((1+C$5)^($A52-$A$24))</f>
        <v>6.9343349494413245E-2</v>
      </c>
      <c r="D52" s="8">
        <f ca="1">1/((1+D$5)^($A52-$A$24))</f>
        <v>6.9343349494413245E-2</v>
      </c>
      <c r="E52" s="8">
        <f ca="1">1/((1+E$5)^($A52-$A$24))</f>
        <v>0.1956301430911887</v>
      </c>
      <c r="F52" s="8">
        <f ca="1">1/((1+F$5)^($A52-$A$24))</f>
        <v>0.1956301430911887</v>
      </c>
      <c r="G52" s="8">
        <f ca="1">1/((1+G$5)^($A52-$A$24))</f>
        <v>0.1956301430911887</v>
      </c>
      <c r="H52" s="8">
        <f ca="1">1/((1+H$5)^($A52-$A$24))</f>
        <v>0.1956301430911887</v>
      </c>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row>
    <row r="53" spans="1:70" s="2" customFormat="1" x14ac:dyDescent="0.35">
      <c r="A53" s="2">
        <f t="shared" ca="1" si="3"/>
        <v>2054</v>
      </c>
      <c r="C53" s="31">
        <f ca="1">1/((1+C$5)^($A53-$A$24))</f>
        <v>6.3039408631284766E-2</v>
      </c>
      <c r="D53" s="8">
        <f ca="1">1/((1+D$5)^($A53-$A$24))</f>
        <v>6.3039408631284766E-2</v>
      </c>
      <c r="E53" s="8">
        <f ca="1">1/((1+E$5)^($A53-$A$24))</f>
        <v>0.18455673876527234</v>
      </c>
      <c r="F53" s="8">
        <f ca="1">1/((1+F$5)^($A53-$A$24))</f>
        <v>0.18455673876527234</v>
      </c>
      <c r="G53" s="8">
        <f ca="1">1/((1+G$5)^($A53-$A$24))</f>
        <v>0.18455673876527234</v>
      </c>
      <c r="H53" s="8">
        <f ca="1">1/((1+H$5)^($A53-$A$24))</f>
        <v>0.18455673876527234</v>
      </c>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row>
    <row r="54" spans="1:70" s="2" customFormat="1" x14ac:dyDescent="0.35">
      <c r="A54" s="2">
        <f t="shared" ca="1" si="3"/>
        <v>2055</v>
      </c>
      <c r="C54" s="31">
        <f ca="1">1/((1+C$5)^($A54-$A$24))</f>
        <v>5.7308553301167964E-2</v>
      </c>
      <c r="D54" s="8">
        <f ca="1">1/((1+D$5)^($A54-$A$24))</f>
        <v>5.7308553301167964E-2</v>
      </c>
      <c r="E54" s="8">
        <f ca="1">1/((1+E$5)^($A54-$A$24))</f>
        <v>0.17411013091063426</v>
      </c>
      <c r="F54" s="8">
        <f ca="1">1/((1+F$5)^($A54-$A$24))</f>
        <v>0.17411013091063426</v>
      </c>
      <c r="G54" s="8">
        <f ca="1">1/((1+G$5)^($A54-$A$24))</f>
        <v>0.17411013091063426</v>
      </c>
      <c r="H54" s="8">
        <f ca="1">1/((1+H$5)^($A54-$A$24))</f>
        <v>0.17411013091063426</v>
      </c>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row>
    <row r="55" spans="1:70" s="2" customFormat="1" x14ac:dyDescent="0.35">
      <c r="A55" s="2">
        <f t="shared" ca="1" si="3"/>
        <v>2056</v>
      </c>
      <c r="B55" s="17"/>
      <c r="C55" s="8">
        <f ca="1">1/((1+C$5)^($A55-$A$24))</f>
        <v>5.2098684819243603E-2</v>
      </c>
      <c r="D55" s="8">
        <f ca="1">1/((1+D$5)^($A55-$A$24))</f>
        <v>5.2098684819243603E-2</v>
      </c>
      <c r="E55" s="8">
        <f ca="1">1/((1+E$5)^($A55-$A$24))</f>
        <v>0.16425484048173042</v>
      </c>
      <c r="F55" s="8">
        <f ca="1">1/((1+F$5)^($A55-$A$24))</f>
        <v>0.16425484048173042</v>
      </c>
      <c r="G55" s="8">
        <f ca="1">1/((1+G$5)^($A55-$A$24))</f>
        <v>0.16425484048173042</v>
      </c>
      <c r="H55" s="8">
        <f ca="1">1/((1+H$5)^($A55-$A$24))</f>
        <v>0.16425484048173042</v>
      </c>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row>
    <row r="56" spans="1:70" s="2" customFormat="1" x14ac:dyDescent="0.35">
      <c r="A56" s="2">
        <f t="shared" ca="1" si="3"/>
        <v>2057</v>
      </c>
      <c r="B56" s="17"/>
      <c r="C56" s="8">
        <f ca="1">1/((1+C$5)^($A56-$A$24))</f>
        <v>4.7362440744766907E-2</v>
      </c>
      <c r="D56" s="8">
        <f ca="1">1/((1+D$5)^($A56-$A$24))</f>
        <v>4.7362440744766907E-2</v>
      </c>
      <c r="E56" s="8">
        <f ca="1">1/((1+E$5)^($A56-$A$24))</f>
        <v>0.15495739668087777</v>
      </c>
      <c r="F56" s="8">
        <f ca="1">1/((1+F$5)^($A56-$A$24))</f>
        <v>0.15495739668087777</v>
      </c>
      <c r="G56" s="8">
        <f ca="1">1/((1+G$5)^($A56-$A$24))</f>
        <v>0.15495739668087777</v>
      </c>
      <c r="H56" s="8">
        <f ca="1">1/((1+H$5)^($A56-$A$24))</f>
        <v>0.15495739668087777</v>
      </c>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s="5"/>
    </row>
    <row r="57" spans="1:70" s="5" customFormat="1" x14ac:dyDescent="0.35">
      <c r="A57" s="2">
        <f t="shared" ref="A57:A74" ca="1" si="4">A56+1</f>
        <v>2058</v>
      </c>
      <c r="B57" s="17"/>
      <c r="C57" s="8">
        <f ca="1">1/((1+C$5)^($A57-$A$24))</f>
        <v>4.3056764313424457E-2</v>
      </c>
      <c r="D57" s="8">
        <f ca="1">1/((1+D$5)^($A57-$A$24))</f>
        <v>4.3056764313424457E-2</v>
      </c>
      <c r="E57" s="8">
        <f ca="1">1/((1+E$5)^($A57-$A$24))</f>
        <v>0.14618622328384695</v>
      </c>
      <c r="F57" s="8">
        <f ca="1">1/((1+F$5)^($A57-$A$24))</f>
        <v>0.14618622328384695</v>
      </c>
      <c r="G57" s="8">
        <f ca="1">1/((1+G$5)^($A57-$A$24))</f>
        <v>0.14618622328384695</v>
      </c>
      <c r="H57" s="8">
        <f ca="1">1/((1+H$5)^($A57-$A$24))</f>
        <v>0.14618622328384695</v>
      </c>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s="2"/>
    </row>
    <row r="58" spans="1:70" s="2" customFormat="1" x14ac:dyDescent="0.35">
      <c r="A58" s="2">
        <f t="shared" ca="1" si="4"/>
        <v>2059</v>
      </c>
      <c r="B58" s="17"/>
      <c r="C58" s="8">
        <f ca="1">1/((1+C$5)^($A58-$A$24))</f>
        <v>3.9142513012204054E-2</v>
      </c>
      <c r="D58" s="8">
        <f ca="1">1/((1+D$5)^($A58-$A$24))</f>
        <v>3.9142513012204054E-2</v>
      </c>
      <c r="E58" s="8">
        <f ca="1">1/((1+E$5)^($A58-$A$24))</f>
        <v>0.1379115313998556</v>
      </c>
      <c r="F58" s="8">
        <f ca="1">1/((1+F$5)^($A58-$A$24))</f>
        <v>0.1379115313998556</v>
      </c>
      <c r="G58" s="8">
        <f ca="1">1/((1+G$5)^($A58-$A$24))</f>
        <v>0.1379115313998556</v>
      </c>
      <c r="H58" s="8">
        <f ca="1">1/((1+H$5)^($A58-$A$24))</f>
        <v>0.1379115313998556</v>
      </c>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row>
    <row r="59" spans="1:70" s="2" customFormat="1" x14ac:dyDescent="0.35">
      <c r="A59" s="2">
        <f t="shared" ca="1" si="4"/>
        <v>2060</v>
      </c>
      <c r="B59" s="17"/>
      <c r="C59" s="8">
        <f ca="1">1/((1+C$5)^($A59-$A$24))</f>
        <v>3.5584102738367311E-2</v>
      </c>
      <c r="D59" s="8">
        <f ca="1">1/((1+D$5)^($A59-$A$24))</f>
        <v>3.5584102738367311E-2</v>
      </c>
      <c r="E59" s="8">
        <f ca="1">1/((1+E$5)^($A59-$A$24))</f>
        <v>0.13010521830175056</v>
      </c>
      <c r="F59" s="8">
        <f ca="1">1/((1+F$5)^($A59-$A$24))</f>
        <v>0.13010521830175056</v>
      </c>
      <c r="G59" s="8">
        <f ca="1">1/((1+G$5)^($A59-$A$24))</f>
        <v>0.13010521830175056</v>
      </c>
      <c r="H59" s="8">
        <f ca="1">1/((1+H$5)^($A59-$A$24))</f>
        <v>0.13010521830175056</v>
      </c>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row>
    <row r="60" spans="1:70" s="2" customFormat="1" x14ac:dyDescent="0.35">
      <c r="A60" s="2">
        <f t="shared" ca="1" si="4"/>
        <v>2061</v>
      </c>
      <c r="B60" s="17"/>
      <c r="C60" s="8">
        <f ca="1">1/((1+C$5)^($A60-$A$24))</f>
        <v>3.2349184307606652E-2</v>
      </c>
      <c r="D60" s="8">
        <f ca="1">1/((1+D$5)^($A60-$A$24))</f>
        <v>3.2349184307606652E-2</v>
      </c>
      <c r="E60" s="8">
        <f ca="1">1/((1+E$5)^($A60-$A$24))</f>
        <v>0.12274077198278353</v>
      </c>
      <c r="F60" s="8">
        <f ca="1">1/((1+F$5)^($A60-$A$24))</f>
        <v>0.12274077198278353</v>
      </c>
      <c r="G60" s="8">
        <f ca="1">1/((1+G$5)^($A60-$A$24))</f>
        <v>0.12274077198278353</v>
      </c>
      <c r="H60" s="8">
        <f ca="1">1/((1+H$5)^($A60-$A$24))</f>
        <v>0.12274077198278353</v>
      </c>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row>
    <row r="61" spans="1:70" s="2" customFormat="1" x14ac:dyDescent="0.35">
      <c r="A61" s="2">
        <f t="shared" ca="1" si="4"/>
        <v>2062</v>
      </c>
      <c r="B61" s="17"/>
      <c r="C61" s="8">
        <f ca="1">1/((1+C$5)^($A61-$A$24))</f>
        <v>2.94083493705515E-2</v>
      </c>
      <c r="D61" s="8">
        <f ca="1">1/((1+D$5)^($A61-$A$24))</f>
        <v>2.94083493705515E-2</v>
      </c>
      <c r="E61" s="8">
        <f ca="1">1/((1+E$5)^($A61-$A$24))</f>
        <v>0.11579318111583352</v>
      </c>
      <c r="F61" s="8">
        <f ca="1">1/((1+F$5)^($A61-$A$24))</f>
        <v>0.11579318111583352</v>
      </c>
      <c r="G61" s="8">
        <f ca="1">1/((1+G$5)^($A61-$A$24))</f>
        <v>0.11579318111583352</v>
      </c>
      <c r="H61" s="8">
        <f ca="1">1/((1+H$5)^($A61-$A$24))</f>
        <v>0.11579318111583352</v>
      </c>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row>
    <row r="62" spans="1:70" s="2" customFormat="1" x14ac:dyDescent="0.35">
      <c r="A62" s="2">
        <f t="shared" ca="1" si="4"/>
        <v>2063</v>
      </c>
      <c r="B62" s="17"/>
      <c r="C62" s="8">
        <f ca="1">1/((1+C$5)^($A62-$A$24))</f>
        <v>2.6734863064137721E-2</v>
      </c>
      <c r="D62" s="8">
        <f ca="1">1/((1+D$5)^($A62-$A$24))</f>
        <v>2.6734863064137721E-2</v>
      </c>
      <c r="E62" s="8">
        <f ca="1">1/((1+E$5)^($A62-$A$24))</f>
        <v>0.10923885010927689</v>
      </c>
      <c r="F62" s="8">
        <f ca="1">1/((1+F$5)^($A62-$A$24))</f>
        <v>0.10923885010927689</v>
      </c>
      <c r="G62" s="8">
        <f ca="1">1/((1+G$5)^($A62-$A$24))</f>
        <v>0.10923885010927689</v>
      </c>
      <c r="H62" s="8">
        <f ca="1">1/((1+H$5)^($A62-$A$24))</f>
        <v>0.10923885010927689</v>
      </c>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row>
    <row r="63" spans="1:70" s="2" customFormat="1" x14ac:dyDescent="0.35">
      <c r="A63" s="2">
        <f t="shared" ca="1" si="4"/>
        <v>2064</v>
      </c>
      <c r="B63" s="17"/>
      <c r="C63" s="8">
        <f ca="1">1/((1+C$5)^($A63-$A$24))</f>
        <v>2.4304420967397926E-2</v>
      </c>
      <c r="D63" s="8">
        <f ca="1">1/((1+D$5)^($A63-$A$24))</f>
        <v>2.4304420967397926E-2</v>
      </c>
      <c r="E63" s="8">
        <f ca="1">1/((1+E$5)^($A63-$A$24))</f>
        <v>0.10305551897101592</v>
      </c>
      <c r="F63" s="8">
        <f ca="1">1/((1+F$5)^($A63-$A$24))</f>
        <v>0.10305551897101592</v>
      </c>
      <c r="G63" s="8">
        <f ca="1">1/((1+G$5)^($A63-$A$24))</f>
        <v>0.10305551897101592</v>
      </c>
      <c r="H63" s="8">
        <f ca="1">1/((1+H$5)^($A63-$A$24))</f>
        <v>0.10305551897101592</v>
      </c>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row>
    <row r="64" spans="1:70" s="2" customFormat="1" x14ac:dyDescent="0.35">
      <c r="A64" s="2">
        <f t="shared" ca="1" si="4"/>
        <v>2065</v>
      </c>
      <c r="B64" s="17"/>
      <c r="C64" s="8">
        <f ca="1">1/((1+C$5)^($A64-$A$24))</f>
        <v>2.2094928152179935E-2</v>
      </c>
      <c r="D64" s="8">
        <f ca="1">1/((1+D$5)^($A64-$A$24))</f>
        <v>2.2094928152179935E-2</v>
      </c>
      <c r="E64" s="8">
        <f ca="1">1/((1+E$5)^($A64-$A$24))</f>
        <v>9.7222187708505589E-2</v>
      </c>
      <c r="F64" s="8">
        <f ca="1">1/((1+F$5)^($A64-$A$24))</f>
        <v>9.7222187708505589E-2</v>
      </c>
      <c r="G64" s="8">
        <f ca="1">1/((1+G$5)^($A64-$A$24))</f>
        <v>9.7222187708505589E-2</v>
      </c>
      <c r="H64" s="8">
        <f ca="1">1/((1+H$5)^($A64-$A$24))</f>
        <v>9.7222187708505589E-2</v>
      </c>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row>
    <row r="65" spans="1:69" s="2" customFormat="1" x14ac:dyDescent="0.35">
      <c r="A65" s="2">
        <f t="shared" ca="1" si="4"/>
        <v>2066</v>
      </c>
      <c r="B65" s="17"/>
      <c r="C65" s="8">
        <f ca="1">1/((1+C$5)^($A65-$A$24))</f>
        <v>2.0086298320163575E-2</v>
      </c>
      <c r="D65" s="8">
        <f ca="1">1/((1+D$5)^($A65-$A$24))</f>
        <v>2.0086298320163575E-2</v>
      </c>
      <c r="E65" s="8">
        <f ca="1">1/((1+E$5)^($A65-$A$24))</f>
        <v>9.171904500802415E-2</v>
      </c>
      <c r="F65" s="8">
        <f ca="1">1/((1+F$5)^($A65-$A$24))</f>
        <v>9.171904500802415E-2</v>
      </c>
      <c r="G65" s="8">
        <f ca="1">1/((1+G$5)^($A65-$A$24))</f>
        <v>9.171904500802415E-2</v>
      </c>
      <c r="H65" s="8">
        <f ca="1">1/((1+H$5)^($A65-$A$24))</f>
        <v>9.171904500802415E-2</v>
      </c>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row>
    <row r="66" spans="1:69" s="2" customFormat="1" x14ac:dyDescent="0.35">
      <c r="A66" s="2">
        <f t="shared" ca="1" si="4"/>
        <v>2067</v>
      </c>
      <c r="B66" s="17"/>
      <c r="C66" s="8">
        <f ca="1">1/((1+C$5)^($A66-$A$24))</f>
        <v>1.8260271200148705E-2</v>
      </c>
      <c r="D66" s="8">
        <f ca="1">1/((1+D$5)^($A66-$A$24))</f>
        <v>1.8260271200148705E-2</v>
      </c>
      <c r="E66" s="8">
        <f ca="1">1/((1+E$5)^($A66-$A$24))</f>
        <v>8.6527400950966171E-2</v>
      </c>
      <c r="F66" s="8">
        <f ca="1">1/((1+F$5)^($A66-$A$24))</f>
        <v>8.6527400950966171E-2</v>
      </c>
      <c r="G66" s="8">
        <f ca="1">1/((1+G$5)^($A66-$A$24))</f>
        <v>8.6527400950966171E-2</v>
      </c>
      <c r="H66" s="8">
        <f ca="1">1/((1+H$5)^($A66-$A$24))</f>
        <v>8.6527400950966171E-2</v>
      </c>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row>
    <row r="67" spans="1:69" s="2" customFormat="1" x14ac:dyDescent="0.35">
      <c r="A67" s="2">
        <f t="shared" ca="1" si="4"/>
        <v>2068</v>
      </c>
      <c r="B67" s="17"/>
      <c r="C67" s="8">
        <f ca="1">1/((1+C$5)^($A67-$A$24))</f>
        <v>1.6600246545589729E-2</v>
      </c>
      <c r="D67" s="8">
        <f ca="1">1/((1+D$5)^($A67-$A$24))</f>
        <v>1.6600246545589729E-2</v>
      </c>
      <c r="E67" s="8">
        <f ca="1">1/((1+E$5)^($A67-$A$24))</f>
        <v>8.162962353864732E-2</v>
      </c>
      <c r="F67" s="8">
        <f ca="1">1/((1+F$5)^($A67-$A$24))</f>
        <v>8.162962353864732E-2</v>
      </c>
      <c r="G67" s="8">
        <f ca="1">1/((1+G$5)^($A67-$A$24))</f>
        <v>8.162962353864732E-2</v>
      </c>
      <c r="H67" s="8">
        <f ca="1">1/((1+H$5)^($A67-$A$24))</f>
        <v>8.162962353864732E-2</v>
      </c>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row>
    <row r="68" spans="1:69" s="2" customFormat="1" x14ac:dyDescent="0.35">
      <c r="A68" s="2">
        <f t="shared" ca="1" si="4"/>
        <v>2069</v>
      </c>
      <c r="B68" s="17"/>
      <c r="C68" s="8">
        <f ca="1">1/((1+C$5)^($A68-$A$24))</f>
        <v>1.5091133223263388E-2</v>
      </c>
      <c r="D68" s="8">
        <f ca="1">1/((1+D$5)^($A68-$A$24))</f>
        <v>1.5091133223263388E-2</v>
      </c>
      <c r="E68" s="8">
        <f ca="1">1/((1+E$5)^($A68-$A$24))</f>
        <v>7.7009078810044637E-2</v>
      </c>
      <c r="F68" s="8">
        <f ca="1">1/((1+F$5)^($A68-$A$24))</f>
        <v>7.7009078810044637E-2</v>
      </c>
      <c r="G68" s="8">
        <f ca="1">1/((1+G$5)^($A68-$A$24))</f>
        <v>7.7009078810044637E-2</v>
      </c>
      <c r="H68" s="8">
        <f ca="1">1/((1+H$5)^($A68-$A$24))</f>
        <v>7.7009078810044637E-2</v>
      </c>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row>
    <row r="69" spans="1:69" s="2" customFormat="1" x14ac:dyDescent="0.35">
      <c r="A69" s="2">
        <f t="shared" ca="1" si="4"/>
        <v>2070</v>
      </c>
      <c r="B69" s="17"/>
      <c r="C69" s="8">
        <f ca="1">1/((1+C$5)^($A69-$A$24))</f>
        <v>1.3719212021148534E-2</v>
      </c>
      <c r="D69" s="8">
        <f ca="1">1/((1+D$5)^($A69-$A$24))</f>
        <v>1.3719212021148534E-2</v>
      </c>
      <c r="E69" s="8">
        <f ca="1">1/((1+E$5)^($A69-$A$24))</f>
        <v>7.2650074349098717E-2</v>
      </c>
      <c r="F69" s="8">
        <f ca="1">1/((1+F$5)^($A69-$A$24))</f>
        <v>7.2650074349098717E-2</v>
      </c>
      <c r="G69" s="8">
        <f ca="1">1/((1+G$5)^($A69-$A$24))</f>
        <v>7.2650074349098717E-2</v>
      </c>
      <c r="H69" s="8">
        <f ca="1">1/((1+H$5)^($A69-$A$24))</f>
        <v>7.2650074349098717E-2</v>
      </c>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row>
    <row r="70" spans="1:69" s="2" customFormat="1" x14ac:dyDescent="0.35">
      <c r="A70" s="2">
        <f t="shared" ca="1" si="4"/>
        <v>2071</v>
      </c>
      <c r="B70" s="17"/>
      <c r="C70" s="8">
        <f ca="1">1/((1+C$5)^($A70-$A$24))</f>
        <v>1.2472010928316847E-2</v>
      </c>
      <c r="D70" s="8">
        <f ca="1">1/((1+D$5)^($A70-$A$24))</f>
        <v>1.2472010928316847E-2</v>
      </c>
      <c r="E70" s="8">
        <f ca="1">1/((1+E$5)^($A70-$A$24))</f>
        <v>6.8537805989715761E-2</v>
      </c>
      <c r="F70" s="8">
        <f ca="1">1/((1+F$5)^($A70-$A$24))</f>
        <v>6.8537805989715761E-2</v>
      </c>
      <c r="G70" s="8">
        <f ca="1">1/((1+G$5)^($A70-$A$24))</f>
        <v>6.8537805989715761E-2</v>
      </c>
      <c r="H70" s="8">
        <f ca="1">1/((1+H$5)^($A70-$A$24))</f>
        <v>6.8537805989715761E-2</v>
      </c>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row>
    <row r="71" spans="1:69" s="2" customFormat="1" x14ac:dyDescent="0.35">
      <c r="A71" s="2">
        <f t="shared" ca="1" si="4"/>
        <v>2072</v>
      </c>
      <c r="B71" s="17"/>
      <c r="C71" s="8">
        <f ca="1">1/((1+C$5)^($A71-$A$24))</f>
        <v>1.1338191753015316E-2</v>
      </c>
      <c r="D71" s="8">
        <f ca="1">1/((1+D$5)^($A71-$A$24))</f>
        <v>1.1338191753015316E-2</v>
      </c>
      <c r="E71" s="8">
        <f ca="1">1/((1+E$5)^($A71-$A$24))</f>
        <v>6.465830753746768E-2</v>
      </c>
      <c r="F71" s="8">
        <f ca="1">1/((1+F$5)^($A71-$A$24))</f>
        <v>6.465830753746768E-2</v>
      </c>
      <c r="G71" s="8">
        <f ca="1">1/((1+G$5)^($A71-$A$24))</f>
        <v>6.465830753746768E-2</v>
      </c>
      <c r="H71" s="8">
        <f ca="1">1/((1+H$5)^($A71-$A$24))</f>
        <v>6.465830753746768E-2</v>
      </c>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row>
    <row r="72" spans="1:69" s="2" customFormat="1" x14ac:dyDescent="0.35">
      <c r="A72" s="2">
        <f t="shared" ca="1" si="4"/>
        <v>2073</v>
      </c>
      <c r="B72" s="17"/>
      <c r="C72" s="8">
        <f ca="1">1/((1+C$5)^($A72-$A$24))</f>
        <v>1.0307447048195742E-2</v>
      </c>
      <c r="D72" s="8">
        <f ca="1">1/((1+D$5)^($A72-$A$24))</f>
        <v>1.0307447048195742E-2</v>
      </c>
      <c r="E72" s="8">
        <f ca="1">1/((1+E$5)^($A72-$A$24))</f>
        <v>6.0998403337233678E-2</v>
      </c>
      <c r="F72" s="8">
        <f ca="1">1/((1+F$5)^($A72-$A$24))</f>
        <v>6.0998403337233678E-2</v>
      </c>
      <c r="G72" s="8">
        <f ca="1">1/((1+G$5)^($A72-$A$24))</f>
        <v>6.0998403337233678E-2</v>
      </c>
      <c r="H72" s="8">
        <f ca="1">1/((1+H$5)^($A72-$A$24))</f>
        <v>6.0998403337233678E-2</v>
      </c>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row>
    <row r="73" spans="1:69" s="2" customFormat="1" x14ac:dyDescent="0.35">
      <c r="A73" s="2">
        <f t="shared" ca="1" si="4"/>
        <v>2074</v>
      </c>
      <c r="B73" s="17"/>
      <c r="C73" s="8">
        <f ca="1">1/((1+C$5)^($A73-$A$24))</f>
        <v>9.3704064074506734E-3</v>
      </c>
      <c r="D73" s="8">
        <f ca="1">1/((1+D$5)^($A73-$A$24))</f>
        <v>9.3704064074506734E-3</v>
      </c>
      <c r="E73" s="8">
        <f ca="1">1/((1+E$5)^($A73-$A$24))</f>
        <v>5.7545663525692139E-2</v>
      </c>
      <c r="F73" s="8">
        <f ca="1">1/((1+F$5)^($A73-$A$24))</f>
        <v>5.7545663525692139E-2</v>
      </c>
      <c r="G73" s="8">
        <f ca="1">1/((1+G$5)^($A73-$A$24))</f>
        <v>5.7545663525692139E-2</v>
      </c>
      <c r="H73" s="8">
        <f ca="1">1/((1+H$5)^($A73-$A$24))</f>
        <v>5.7545663525692139E-2</v>
      </c>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row>
    <row r="74" spans="1:69" s="2" customFormat="1" x14ac:dyDescent="0.35">
      <c r="A74" s="5">
        <f t="shared" ca="1" si="4"/>
        <v>2075</v>
      </c>
      <c r="B74" s="17"/>
      <c r="C74" s="8">
        <f ca="1">1/((1+C$5)^($A74-$A$24))</f>
        <v>8.5185512795006111E-3</v>
      </c>
      <c r="D74" s="8">
        <f ca="1">1/((1+D$5)^($A74-$A$24))</f>
        <v>8.5185512795006111E-3</v>
      </c>
      <c r="E74" s="8">
        <f ca="1">1/((1+E$5)^($A74-$A$24))</f>
        <v>5.4288361816690701E-2</v>
      </c>
      <c r="F74" s="8">
        <f ca="1">1/((1+F$5)^($A74-$A$24))</f>
        <v>5.4288361816690701E-2</v>
      </c>
      <c r="G74" s="8">
        <f ca="1">1/((1+G$5)^($A74-$A$24))</f>
        <v>5.4288361816690701E-2</v>
      </c>
      <c r="H74" s="8">
        <f ca="1">1/((1+H$5)^($A74-$A$24))</f>
        <v>5.4288361816690701E-2</v>
      </c>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row>
    <row r="75" spans="1:69" s="2" customFormat="1" x14ac:dyDescent="0.35">
      <c r="A75" s="6" t="s">
        <v>276</v>
      </c>
      <c r="B75" s="4"/>
      <c r="C75" s="7"/>
      <c r="D75" s="7"/>
      <c r="E75" s="7"/>
      <c r="F75" s="7"/>
      <c r="G75" s="7"/>
      <c r="H75" s="7"/>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row>
    <row r="76" spans="1:69" s="2" customFormat="1" x14ac:dyDescent="0.35">
      <c r="A76" s="4">
        <f ca="1">YEAR(TODAY())</f>
        <v>2025</v>
      </c>
      <c r="B76" s="157"/>
      <c r="C76" s="7"/>
      <c r="D76" s="7">
        <f ca="1">1/((1+D$6)^($A76-$A$24))</f>
        <v>1</v>
      </c>
      <c r="E76" s="7"/>
      <c r="F76" s="7"/>
      <c r="G76" s="7"/>
      <c r="H76" s="7"/>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row>
    <row r="77" spans="1:69" s="2" customFormat="1" x14ac:dyDescent="0.35">
      <c r="A77" s="2">
        <f ca="1">A76+1</f>
        <v>2026</v>
      </c>
      <c r="B77" s="17"/>
      <c r="C77" s="8"/>
      <c r="D77" s="8">
        <f ca="1">1/((1+D$6)^($A77-$A$24))</f>
        <v>0.93984962406015038</v>
      </c>
      <c r="E77" s="8"/>
      <c r="F77" s="8"/>
      <c r="G77" s="8"/>
      <c r="H77" s="8"/>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row>
    <row r="78" spans="1:69" s="2" customFormat="1" x14ac:dyDescent="0.35">
      <c r="A78" s="2">
        <f t="shared" ref="A78:A126" ca="1" si="5">A77+1</f>
        <v>2027</v>
      </c>
      <c r="B78" s="17"/>
      <c r="C78" s="8"/>
      <c r="D78" s="8">
        <f ca="1">1/((1+D$6)^($A78-$A$24))</f>
        <v>0.88331731584600581</v>
      </c>
      <c r="E78" s="8"/>
      <c r="F78" s="8"/>
      <c r="G78" s="8"/>
      <c r="H78" s="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row>
    <row r="79" spans="1:69" s="2" customFormat="1" x14ac:dyDescent="0.35">
      <c r="A79" s="2">
        <f t="shared" ca="1" si="5"/>
        <v>2028</v>
      </c>
      <c r="B79" s="17"/>
      <c r="C79" s="8"/>
      <c r="D79" s="8">
        <f ca="1">1/((1+D$6)^($A79-$A$24))</f>
        <v>0.83018544722368959</v>
      </c>
      <c r="E79" s="8"/>
      <c r="F79" s="8"/>
      <c r="G79" s="8"/>
      <c r="H79" s="8"/>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row>
    <row r="80" spans="1:69" s="2" customFormat="1" x14ac:dyDescent="0.35">
      <c r="A80" s="2">
        <f t="shared" ca="1" si="5"/>
        <v>2029</v>
      </c>
      <c r="B80" s="17"/>
      <c r="C80" s="8"/>
      <c r="D80" s="8">
        <f ca="1">1/((1+D$6)^($A80-$A$24))</f>
        <v>0.78024948047339238</v>
      </c>
      <c r="E80" s="8"/>
      <c r="F80" s="8"/>
      <c r="G80" s="8"/>
      <c r="H80" s="8"/>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row>
    <row r="81" spans="1:69" s="2" customFormat="1" x14ac:dyDescent="0.35">
      <c r="A81" s="2">
        <f t="shared" ca="1" si="5"/>
        <v>2030</v>
      </c>
      <c r="B81" s="17"/>
      <c r="C81" s="8"/>
      <c r="D81" s="8">
        <f ca="1">1/((1+D$6)^($A81-$A$24))</f>
        <v>0.73331718089604547</v>
      </c>
      <c r="E81" s="8"/>
      <c r="F81" s="8"/>
      <c r="G81" s="8"/>
      <c r="H81" s="8"/>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row>
    <row r="82" spans="1:69" s="2" customFormat="1" x14ac:dyDescent="0.35">
      <c r="A82" s="2">
        <f t="shared" ca="1" si="5"/>
        <v>2031</v>
      </c>
      <c r="B82" s="17"/>
      <c r="C82" s="8"/>
      <c r="D82" s="8">
        <f ca="1">1/((1+D$6)^($A82-$A$24))</f>
        <v>0.68920787678199746</v>
      </c>
      <c r="E82" s="8"/>
      <c r="F82" s="8"/>
      <c r="G82" s="8"/>
      <c r="H82" s="8"/>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row>
    <row r="83" spans="1:69" s="2" customFormat="1" x14ac:dyDescent="0.35">
      <c r="A83" s="2">
        <f t="shared" ca="1" si="5"/>
        <v>2032</v>
      </c>
      <c r="B83" s="17"/>
      <c r="C83" s="8"/>
      <c r="D83" s="8">
        <f ca="1">1/((1+D$6)^($A83-$A$24))</f>
        <v>0.64775176389285472</v>
      </c>
      <c r="E83" s="8"/>
      <c r="F83" s="8"/>
      <c r="G83" s="8"/>
      <c r="H83" s="8"/>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row>
    <row r="84" spans="1:69" s="2" customFormat="1" x14ac:dyDescent="0.35">
      <c r="A84" s="2">
        <f t="shared" ca="1" si="5"/>
        <v>2033</v>
      </c>
      <c r="B84" s="17"/>
      <c r="C84" s="8"/>
      <c r="D84" s="8">
        <f ca="1">1/((1+D$6)^($A84-$A$24))</f>
        <v>0.60878925177899879</v>
      </c>
      <c r="E84" s="8"/>
      <c r="F84" s="8"/>
      <c r="G84" s="8"/>
      <c r="H84" s="8"/>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row>
    <row r="85" spans="1:69" s="2" customFormat="1" x14ac:dyDescent="0.35">
      <c r="A85" s="2">
        <f t="shared" ca="1" si="5"/>
        <v>2034</v>
      </c>
      <c r="B85" s="17"/>
      <c r="C85" s="8"/>
      <c r="D85" s="8">
        <f ca="1">1/((1+D$6)^($A85-$A$24))</f>
        <v>0.57217034941635225</v>
      </c>
      <c r="E85" s="8"/>
      <c r="F85" s="8"/>
      <c r="G85" s="8"/>
      <c r="H85" s="8"/>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row>
    <row r="86" spans="1:69" s="2" customFormat="1" x14ac:dyDescent="0.35">
      <c r="A86" s="2">
        <f t="shared" ca="1" si="5"/>
        <v>2035</v>
      </c>
      <c r="B86" s="17"/>
      <c r="C86" s="8"/>
      <c r="D86" s="8">
        <f ca="1">1/((1+D$6)^($A86-$A$24))</f>
        <v>0.53775408779732348</v>
      </c>
      <c r="E86" s="8"/>
      <c r="F86" s="8"/>
      <c r="G86" s="8"/>
      <c r="H86" s="8"/>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row>
    <row r="87" spans="1:69" s="2" customFormat="1" x14ac:dyDescent="0.35">
      <c r="A87" s="2">
        <f t="shared" ca="1" si="5"/>
        <v>2036</v>
      </c>
      <c r="B87" s="17"/>
      <c r="C87" s="8"/>
      <c r="D87" s="8">
        <f ca="1">1/((1+D$6)^($A87-$A$24))</f>
        <v>0.50540797725312347</v>
      </c>
      <c r="E87" s="8"/>
      <c r="F87" s="8"/>
      <c r="G87" s="8"/>
      <c r="H87" s="8"/>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row>
    <row r="88" spans="1:69" s="2" customFormat="1" x14ac:dyDescent="0.35">
      <c r="A88" s="2">
        <f t="shared" ca="1" si="5"/>
        <v>2037</v>
      </c>
      <c r="B88" s="17"/>
      <c r="C88" s="8"/>
      <c r="D88" s="8">
        <f ca="1">1/((1+D$6)^($A88-$A$24))</f>
        <v>0.47500749741834908</v>
      </c>
      <c r="E88" s="8"/>
      <c r="F88" s="8"/>
      <c r="G88" s="8"/>
      <c r="H88" s="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row>
    <row r="89" spans="1:69" s="2" customFormat="1" x14ac:dyDescent="0.35">
      <c r="A89" s="2">
        <f t="shared" ca="1" si="5"/>
        <v>2038</v>
      </c>
      <c r="B89" s="17"/>
      <c r="C89" s="8"/>
      <c r="D89" s="8">
        <f ca="1">1/((1+D$6)^($A89-$A$24))</f>
        <v>0.44643561787438824</v>
      </c>
      <c r="E89" s="8"/>
      <c r="F89" s="8"/>
      <c r="G89" s="8"/>
      <c r="H89" s="8"/>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row>
    <row r="90" spans="1:69" s="2" customFormat="1" x14ac:dyDescent="0.35">
      <c r="A90" s="2">
        <f t="shared" ca="1" si="5"/>
        <v>2039</v>
      </c>
      <c r="B90" s="17"/>
      <c r="C90" s="8"/>
      <c r="D90" s="8">
        <f ca="1">1/((1+D$6)^($A90-$A$24))</f>
        <v>0.41958234762630464</v>
      </c>
      <c r="E90" s="8"/>
      <c r="F90" s="8"/>
      <c r="G90" s="8"/>
      <c r="H90" s="8"/>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row>
    <row r="91" spans="1:69" s="2" customFormat="1" x14ac:dyDescent="0.35">
      <c r="A91" s="2">
        <f t="shared" ca="1" si="5"/>
        <v>2040</v>
      </c>
      <c r="B91" s="17"/>
      <c r="C91" s="8"/>
      <c r="D91" s="8">
        <f ca="1">1/((1+D$6)^($A91-$A$24))</f>
        <v>0.39434431167885775</v>
      </c>
      <c r="E91" s="8"/>
      <c r="F91" s="8"/>
      <c r="G91" s="8"/>
      <c r="H91" s="8"/>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row>
    <row r="92" spans="1:69" s="2" customFormat="1" x14ac:dyDescent="0.35">
      <c r="A92" s="2">
        <f t="shared" ca="1" si="5"/>
        <v>2041</v>
      </c>
      <c r="B92" s="17"/>
      <c r="C92" s="8"/>
      <c r="D92" s="8">
        <f ca="1">1/((1+D$6)^($A92-$A$24))</f>
        <v>0.37062435308163316</v>
      </c>
      <c r="E92" s="8"/>
      <c r="F92" s="8"/>
      <c r="G92" s="8"/>
      <c r="H92" s="8"/>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row>
    <row r="93" spans="1:69" s="2" customFormat="1" x14ac:dyDescent="0.35">
      <c r="A93" s="2">
        <f t="shared" ca="1" si="5"/>
        <v>2042</v>
      </c>
      <c r="B93" s="17"/>
      <c r="C93" s="8"/>
      <c r="D93" s="8">
        <f ca="1">1/((1+D$6)^($A93-$A$24))</f>
        <v>0.34833115891130939</v>
      </c>
      <c r="E93" s="8"/>
      <c r="F93" s="8"/>
      <c r="G93" s="8"/>
      <c r="H93" s="8"/>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row>
    <row r="94" spans="1:69" s="2" customFormat="1" x14ac:dyDescent="0.35">
      <c r="A94" s="2">
        <f t="shared" ca="1" si="5"/>
        <v>2043</v>
      </c>
      <c r="B94" s="17"/>
      <c r="C94" s="8"/>
      <c r="D94" s="8">
        <f ca="1">1/((1+D$6)^($A94-$A$24))</f>
        <v>0.32737890875123055</v>
      </c>
      <c r="E94" s="8"/>
      <c r="F94" s="8"/>
      <c r="G94" s="8"/>
      <c r="H94" s="8"/>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row>
    <row r="95" spans="1:69" s="2" customFormat="1" x14ac:dyDescent="0.35">
      <c r="A95" s="2">
        <f t="shared" ca="1" si="5"/>
        <v>2044</v>
      </c>
      <c r="B95" s="17"/>
      <c r="C95" s="8"/>
      <c r="D95" s="8">
        <f ca="1">1/((1+D$6)^($A95-$A$24))</f>
        <v>0.30768694431506627</v>
      </c>
      <c r="E95" s="8"/>
      <c r="F95" s="8"/>
      <c r="G95" s="8"/>
      <c r="H95" s="8"/>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row>
    <row r="96" spans="1:69" s="2" customFormat="1" x14ac:dyDescent="0.35">
      <c r="A96" s="2">
        <f t="shared" ca="1" si="5"/>
        <v>2045</v>
      </c>
      <c r="B96" s="17"/>
      <c r="C96" s="8"/>
      <c r="D96" s="8">
        <f ca="1">1/((1+D$6)^($A96-$A$24))</f>
        <v>0.28917945894273145</v>
      </c>
      <c r="E96" s="8"/>
      <c r="F96" s="8"/>
      <c r="G96" s="8"/>
      <c r="H96" s="8"/>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row>
    <row r="97" spans="1:69" s="2" customFormat="1" x14ac:dyDescent="0.35">
      <c r="A97" s="2">
        <f t="shared" ca="1" si="5"/>
        <v>2046</v>
      </c>
      <c r="B97" s="17"/>
      <c r="C97" s="8"/>
      <c r="D97" s="8">
        <f ca="1">1/((1+D$6)^($A97-$A$24))</f>
        <v>0.27178520577324378</v>
      </c>
      <c r="E97" s="8"/>
      <c r="F97" s="8"/>
      <c r="G97" s="8"/>
      <c r="H97" s="8"/>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row>
    <row r="98" spans="1:69" s="2" customFormat="1" x14ac:dyDescent="0.35">
      <c r="A98" s="2">
        <f t="shared" ca="1" si="5"/>
        <v>2047</v>
      </c>
      <c r="B98" s="17"/>
      <c r="C98" s="8"/>
      <c r="D98" s="8">
        <f ca="1">1/((1+D$6)^($A98-$A$24))</f>
        <v>0.25543722347109377</v>
      </c>
      <c r="E98" s="8"/>
      <c r="F98" s="8"/>
      <c r="G98" s="8"/>
      <c r="H98" s="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row>
    <row r="99" spans="1:69" s="2" customFormat="1" x14ac:dyDescent="0.35">
      <c r="A99" s="2">
        <f t="shared" ca="1" si="5"/>
        <v>2048</v>
      </c>
      <c r="B99" s="17"/>
      <c r="C99" s="8"/>
      <c r="D99" s="8">
        <f ca="1">1/((1+D$6)^($A99-$A$24))</f>
        <v>0.2400725784502761</v>
      </c>
      <c r="E99" s="8"/>
      <c r="F99" s="8"/>
      <c r="G99" s="8"/>
      <c r="H99" s="8"/>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row>
    <row r="100" spans="1:69" s="2" customFormat="1" x14ac:dyDescent="0.35">
      <c r="A100" s="2">
        <f t="shared" ca="1" si="5"/>
        <v>2049</v>
      </c>
      <c r="B100" s="17"/>
      <c r="C100" s="8"/>
      <c r="D100" s="8">
        <f ca="1">1/((1+D$6)^($A100-$A$24))</f>
        <v>0.22563212260364293</v>
      </c>
      <c r="E100" s="8"/>
      <c r="F100" s="8"/>
      <c r="G100" s="8"/>
      <c r="H100" s="8"/>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row>
    <row r="101" spans="1:69" s="2" customFormat="1" x14ac:dyDescent="0.35">
      <c r="A101" s="2">
        <f t="shared" ca="1" si="5"/>
        <v>2050</v>
      </c>
      <c r="B101" s="17"/>
      <c r="C101" s="8"/>
      <c r="D101" s="8">
        <f ca="1">1/((1+D$6)^($A101-$A$24))</f>
        <v>0.21206026560492755</v>
      </c>
      <c r="E101" s="8"/>
      <c r="F101" s="8"/>
      <c r="G101" s="8"/>
      <c r="H101" s="8"/>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row>
    <row r="102" spans="1:69" s="2" customFormat="1" x14ac:dyDescent="0.35">
      <c r="A102" s="2">
        <f t="shared" ca="1" si="5"/>
        <v>2051</v>
      </c>
      <c r="B102" s="17"/>
      <c r="C102" s="8"/>
      <c r="D102" s="8">
        <f ca="1">1/((1+D$6)^($A102-$A$24))</f>
        <v>0.19930476090688676</v>
      </c>
      <c r="E102" s="8"/>
      <c r="F102" s="8"/>
      <c r="G102" s="8"/>
      <c r="H102" s="8"/>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row>
    <row r="103" spans="1:69" s="2" customFormat="1" x14ac:dyDescent="0.35">
      <c r="A103" s="2">
        <f t="shared" ca="1" si="5"/>
        <v>2052</v>
      </c>
      <c r="B103" s="17"/>
      <c r="C103" s="8"/>
      <c r="D103" s="8">
        <f ca="1">1/((1+D$6)^($A103-$A$24))</f>
        <v>0.18731650461173566</v>
      </c>
      <c r="E103" s="8"/>
      <c r="F103" s="8"/>
      <c r="G103" s="8"/>
      <c r="H103" s="8"/>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row>
    <row r="104" spans="1:69" s="2" customFormat="1" x14ac:dyDescent="0.35">
      <c r="A104" s="2">
        <f t="shared" ca="1" si="5"/>
        <v>2053</v>
      </c>
      <c r="B104" s="17"/>
      <c r="C104" s="31"/>
      <c r="D104" s="8">
        <f ca="1">1/((1+D$6)^($A104-$A$24))</f>
        <v>0.17604934643960116</v>
      </c>
      <c r="E104" s="8"/>
      <c r="F104" s="8"/>
      <c r="G104" s="8"/>
      <c r="H104" s="8"/>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row>
    <row r="105" spans="1:69" s="2" customFormat="1" x14ac:dyDescent="0.35">
      <c r="A105" s="2">
        <f t="shared" ca="1" si="5"/>
        <v>2054</v>
      </c>
      <c r="B105" s="17"/>
      <c r="C105" s="31"/>
      <c r="D105" s="8">
        <f ca="1">1/((1+D$6)^($A105-$A$24))</f>
        <v>0.16545991206729432</v>
      </c>
      <c r="E105" s="8"/>
      <c r="F105" s="8"/>
      <c r="G105" s="8"/>
      <c r="H105" s="8"/>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row>
    <row r="106" spans="1:69" s="2" customFormat="1" x14ac:dyDescent="0.35">
      <c r="A106" s="2">
        <f t="shared" ca="1" si="5"/>
        <v>2055</v>
      </c>
      <c r="B106" s="17"/>
      <c r="C106" s="31"/>
      <c r="D106" s="8">
        <f ca="1">1/((1+D$6)^($A106-$A$24))</f>
        <v>0.1555074361534721</v>
      </c>
      <c r="E106" s="8"/>
      <c r="F106" s="8"/>
      <c r="G106" s="8"/>
      <c r="H106" s="8"/>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row>
    <row r="107" spans="1:69" s="2" customFormat="1" x14ac:dyDescent="0.35">
      <c r="A107" s="2">
        <f t="shared" ca="1" si="5"/>
        <v>2056</v>
      </c>
      <c r="B107" s="17"/>
      <c r="C107" s="8"/>
      <c r="D107" s="8">
        <f ca="1">1/((1+D$6)^($A107-$A$24))</f>
        <v>0.14615360540739858</v>
      </c>
      <c r="E107" s="8"/>
      <c r="F107" s="8"/>
      <c r="G107" s="8"/>
      <c r="H107" s="8"/>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row>
    <row r="108" spans="1:69" s="2" customFormat="1" x14ac:dyDescent="0.35">
      <c r="A108" s="2">
        <f t="shared" ca="1" si="5"/>
        <v>2057</v>
      </c>
      <c r="B108" s="17"/>
      <c r="C108" s="8"/>
      <c r="D108" s="8">
        <f ca="1">1/((1+D$6)^($A108-$A$24))</f>
        <v>0.13736241109717909</v>
      </c>
      <c r="E108" s="8"/>
      <c r="F108" s="8"/>
      <c r="G108" s="8"/>
      <c r="H108" s="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row>
    <row r="109" spans="1:69" s="2" customFormat="1" x14ac:dyDescent="0.35">
      <c r="A109" s="2">
        <f t="shared" ca="1" si="5"/>
        <v>2058</v>
      </c>
      <c r="B109" s="17"/>
      <c r="C109" s="8"/>
      <c r="D109" s="8">
        <f ca="1">1/((1+D$6)^($A109-$A$24))</f>
        <v>0.12910001042967958</v>
      </c>
      <c r="E109" s="8"/>
      <c r="F109" s="8"/>
      <c r="G109" s="8"/>
      <c r="H109" s="8"/>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row>
    <row r="110" spans="1:69" s="2" customFormat="1" x14ac:dyDescent="0.35">
      <c r="A110" s="2">
        <f t="shared" ca="1" si="5"/>
        <v>2059</v>
      </c>
      <c r="B110" s="17"/>
      <c r="C110" s="8"/>
      <c r="D110" s="8">
        <f ca="1">1/((1+D$6)^($A110-$A$24))</f>
        <v>0.12133459626849584</v>
      </c>
      <c r="E110" s="8"/>
      <c r="F110" s="8"/>
      <c r="G110" s="8"/>
      <c r="H110" s="8"/>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row>
    <row r="111" spans="1:69" s="2" customFormat="1" x14ac:dyDescent="0.35">
      <c r="A111" s="2">
        <f t="shared" ca="1" si="5"/>
        <v>2060</v>
      </c>
      <c r="B111" s="17"/>
      <c r="C111" s="8"/>
      <c r="D111" s="8">
        <f ca="1">1/((1+D$6)^($A111-$A$24))</f>
        <v>0.11403627468843591</v>
      </c>
      <c r="E111" s="8"/>
      <c r="F111" s="8"/>
      <c r="G111" s="8"/>
      <c r="H111" s="8"/>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row>
    <row r="112" spans="1:69" s="2" customFormat="1" x14ac:dyDescent="0.35">
      <c r="A112" s="2">
        <f t="shared" ca="1" si="5"/>
        <v>2061</v>
      </c>
      <c r="B112" s="17"/>
      <c r="C112" s="8"/>
      <c r="D112" s="8">
        <f ca="1">1/((1+D$6)^($A112-$A$24))</f>
        <v>0.10717694989514652</v>
      </c>
      <c r="E112" s="8"/>
      <c r="F112" s="8"/>
      <c r="G112" s="8"/>
      <c r="H112" s="8"/>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row>
    <row r="113" spans="1:70" s="2" customFormat="1" x14ac:dyDescent="0.35">
      <c r="A113" s="2">
        <f t="shared" ca="1" si="5"/>
        <v>2062</v>
      </c>
      <c r="B113" s="17"/>
      <c r="C113" s="8"/>
      <c r="D113" s="8">
        <f ca="1">1/((1+D$6)^($A113-$A$24))</f>
        <v>0.10073021606686704</v>
      </c>
      <c r="E113" s="8"/>
      <c r="F113" s="8"/>
      <c r="G113" s="8"/>
      <c r="H113" s="8"/>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row>
    <row r="114" spans="1:70" s="2" customFormat="1" x14ac:dyDescent="0.35">
      <c r="A114" s="2">
        <f t="shared" ca="1" si="5"/>
        <v>2063</v>
      </c>
      <c r="B114" s="17"/>
      <c r="C114" s="8"/>
      <c r="D114" s="8">
        <f ca="1">1/((1+D$6)^($A114-$A$24))</f>
        <v>9.4671255701942694E-2</v>
      </c>
      <c r="E114" s="8"/>
      <c r="F114" s="8"/>
      <c r="G114" s="8"/>
      <c r="H114" s="8"/>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row>
    <row r="115" spans="1:70" s="2" customFormat="1" x14ac:dyDescent="0.35">
      <c r="A115" s="2">
        <f t="shared" ca="1" si="5"/>
        <v>2064</v>
      </c>
      <c r="B115" s="17"/>
      <c r="C115" s="8"/>
      <c r="D115" s="8">
        <f ca="1">1/((1+D$6)^($A115-$A$24))</f>
        <v>8.897674408077319E-2</v>
      </c>
      <c r="E115" s="8"/>
      <c r="F115" s="8"/>
      <c r="G115" s="8"/>
      <c r="H115" s="8"/>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row>
    <row r="116" spans="1:70" s="2" customFormat="1" x14ac:dyDescent="0.35">
      <c r="A116" s="2">
        <f t="shared" ca="1" si="5"/>
        <v>2065</v>
      </c>
      <c r="B116" s="17"/>
      <c r="C116" s="8"/>
      <c r="D116" s="8">
        <f ca="1">1/((1+D$6)^($A116-$A$24))</f>
        <v>8.3624759474410906E-2</v>
      </c>
      <c r="E116" s="8"/>
      <c r="F116" s="8"/>
      <c r="G116" s="8"/>
      <c r="H116" s="8"/>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row>
    <row r="117" spans="1:70" s="2" customFormat="1" x14ac:dyDescent="0.35">
      <c r="A117" s="2">
        <f t="shared" ca="1" si="5"/>
        <v>2066</v>
      </c>
      <c r="B117" s="17"/>
      <c r="C117" s="8"/>
      <c r="D117" s="8">
        <f ca="1">1/((1+D$6)^($A117-$A$24))</f>
        <v>7.859469875414557E-2</v>
      </c>
      <c r="E117" s="8"/>
      <c r="F117" s="8"/>
      <c r="G117" s="8"/>
      <c r="H117" s="8"/>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row>
    <row r="118" spans="1:70" s="2" customFormat="1" x14ac:dyDescent="0.35">
      <c r="A118" s="2">
        <f t="shared" ca="1" si="5"/>
        <v>2067</v>
      </c>
      <c r="B118" s="17"/>
      <c r="C118" s="8"/>
      <c r="D118" s="8">
        <f ca="1">1/((1+D$6)^($A118-$A$24))</f>
        <v>7.3867198077204488E-2</v>
      </c>
      <c r="E118" s="8"/>
      <c r="F118" s="8"/>
      <c r="G118" s="8"/>
      <c r="H118" s="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row>
    <row r="119" spans="1:70" s="2" customFormat="1" x14ac:dyDescent="0.35">
      <c r="A119" s="2">
        <f t="shared" ca="1" si="5"/>
        <v>2068</v>
      </c>
      <c r="B119" s="17"/>
      <c r="C119" s="8"/>
      <c r="D119" s="8">
        <f ca="1">1/((1+D$6)^($A119-$A$24))</f>
        <v>6.9424058343237283E-2</v>
      </c>
      <c r="E119" s="8"/>
      <c r="F119" s="8"/>
      <c r="G119" s="8"/>
      <c r="H119" s="8"/>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row>
    <row r="120" spans="1:70" s="2" customFormat="1" x14ac:dyDescent="0.35">
      <c r="A120" s="2">
        <f t="shared" ca="1" si="5"/>
        <v>2069</v>
      </c>
      <c r="B120" s="17"/>
      <c r="C120" s="8"/>
      <c r="D120" s="8">
        <f ca="1">1/((1+D$6)^($A120-$A$24))</f>
        <v>6.52481751346215E-2</v>
      </c>
      <c r="E120" s="8"/>
      <c r="F120" s="8"/>
      <c r="G120" s="8"/>
      <c r="H120" s="8"/>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row>
    <row r="121" spans="1:70" s="2" customFormat="1" x14ac:dyDescent="0.35">
      <c r="A121" s="2">
        <f t="shared" ca="1" si="5"/>
        <v>2070</v>
      </c>
      <c r="B121" s="17"/>
      <c r="C121" s="8"/>
      <c r="D121" s="8">
        <f ca="1">1/((1+D$6)^($A121-$A$24))</f>
        <v>6.1323472870884868E-2</v>
      </c>
      <c r="E121" s="8"/>
      <c r="F121" s="8"/>
      <c r="G121" s="8"/>
      <c r="H121" s="8"/>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row>
    <row r="122" spans="1:70" s="2" customFormat="1" x14ac:dyDescent="0.35">
      <c r="A122" s="2">
        <f t="shared" ca="1" si="5"/>
        <v>2071</v>
      </c>
      <c r="B122" s="17"/>
      <c r="C122" s="8"/>
      <c r="D122" s="8">
        <f ca="1">1/((1+D$6)^($A122-$A$24))</f>
        <v>5.7634842923763967E-2</v>
      </c>
      <c r="E122" s="8"/>
      <c r="F122" s="8"/>
      <c r="G122" s="8"/>
      <c r="H122" s="8"/>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row>
    <row r="123" spans="1:70" s="2" customFormat="1" x14ac:dyDescent="0.35">
      <c r="A123" s="2">
        <f t="shared" ca="1" si="5"/>
        <v>2072</v>
      </c>
      <c r="B123" s="17"/>
      <c r="C123" s="8"/>
      <c r="D123" s="8">
        <f ca="1">1/((1+D$6)^($A123-$A$24))</f>
        <v>5.4168085454665373E-2</v>
      </c>
      <c r="E123" s="8"/>
      <c r="F123" s="8"/>
      <c r="G123" s="8"/>
      <c r="H123" s="8"/>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row>
    <row r="124" spans="1:70" s="2" customFormat="1" x14ac:dyDescent="0.35">
      <c r="A124" s="2">
        <f t="shared" ca="1" si="5"/>
        <v>2073</v>
      </c>
      <c r="B124" s="17"/>
      <c r="C124" s="8"/>
      <c r="D124" s="8">
        <f ca="1">1/((1+D$6)^($A124-$A$24))</f>
        <v>5.0909854750625351E-2</v>
      </c>
      <c r="E124" s="8"/>
      <c r="F124" s="8"/>
      <c r="G124" s="8"/>
      <c r="H124" s="8"/>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row>
    <row r="125" spans="1:70" s="2" customFormat="1" x14ac:dyDescent="0.35">
      <c r="A125" s="2">
        <f t="shared" ca="1" si="5"/>
        <v>2074</v>
      </c>
      <c r="B125" s="17"/>
      <c r="C125" s="8"/>
      <c r="D125" s="8">
        <f ca="1">1/((1+D$6)^($A125-$A$24))</f>
        <v>4.7847607848332092E-2</v>
      </c>
      <c r="E125" s="8"/>
      <c r="F125" s="8"/>
      <c r="G125" s="8"/>
      <c r="H125" s="8"/>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row>
    <row r="126" spans="1:70" s="2" customFormat="1" x14ac:dyDescent="0.35">
      <c r="A126" s="5">
        <f t="shared" ca="1" si="5"/>
        <v>2075</v>
      </c>
      <c r="B126" s="18"/>
      <c r="C126" s="8"/>
      <c r="D126" s="154">
        <f ca="1">1/((1+D$6)^($A126-$A$24))</f>
        <v>4.4969556248432407E-2</v>
      </c>
      <c r="E126" s="8"/>
      <c r="F126" s="8"/>
      <c r="G126" s="8"/>
      <c r="H126" s="8"/>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row>
    <row r="127" spans="1:70" s="2" customFormat="1" x14ac:dyDescent="0.35">
      <c r="A127" s="6" t="s">
        <v>199</v>
      </c>
      <c r="B127" s="5"/>
      <c r="C127" s="4"/>
      <c r="E127" s="4"/>
      <c r="F127" s="4"/>
      <c r="G127" s="4"/>
      <c r="H127" s="4"/>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row>
    <row r="128" spans="1:70" s="2" customFormat="1" x14ac:dyDescent="0.35">
      <c r="A128" s="4">
        <f ca="1">YEAR(TODAY())</f>
        <v>2025</v>
      </c>
      <c r="C128" s="155">
        <f>Assumptions!E7-(C12*C7)</f>
        <v>1400</v>
      </c>
      <c r="D128" s="155">
        <f>Assumptions!E7-(D12*D7)</f>
        <v>1400</v>
      </c>
      <c r="E128" s="155">
        <f>Assumptions!G12-(E12*E7)</f>
        <v>4000</v>
      </c>
      <c r="F128" s="155">
        <f>Assumptions!H12-(F12*F7)</f>
        <v>7000</v>
      </c>
      <c r="G128" s="155">
        <f>Assumptions!I12-(G12*G7)</f>
        <v>13750</v>
      </c>
      <c r="H128" s="155">
        <f>Assumptions!J12-(H12*H7)</f>
        <v>20000</v>
      </c>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s="4"/>
    </row>
    <row r="129" spans="1:70" s="4" customFormat="1" x14ac:dyDescent="0.35">
      <c r="A129" s="2">
        <f ca="1">A128+1</f>
        <v>2026</v>
      </c>
      <c r="B129" s="2"/>
      <c r="C129" s="15">
        <f>Assumptions!B32+C$9</f>
        <v>145</v>
      </c>
      <c r="D129" s="15">
        <f>Assumptions!C32+D$9</f>
        <v>145</v>
      </c>
      <c r="E129" s="15">
        <f>Assumptions!$D32+E$9</f>
        <v>420</v>
      </c>
      <c r="F129" s="15">
        <f>Assumptions!$D32+F$9</f>
        <v>420</v>
      </c>
      <c r="G129" s="15">
        <f>Assumptions!$D32+G$9</f>
        <v>420</v>
      </c>
      <c r="H129" s="15">
        <f>Assumptions!$D32+H$9</f>
        <v>420</v>
      </c>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s="2"/>
    </row>
    <row r="130" spans="1:70" s="2" customFormat="1" x14ac:dyDescent="0.35">
      <c r="A130" s="2">
        <f t="shared" ref="A130:A178" ca="1" si="6">A129+1</f>
        <v>2027</v>
      </c>
      <c r="C130" s="15">
        <f>Assumptions!B33+C$9</f>
        <v>75</v>
      </c>
      <c r="D130" s="15">
        <f>Assumptions!C33+D$9</f>
        <v>75</v>
      </c>
      <c r="E130" s="15">
        <f>Assumptions!$D33+E$9</f>
        <v>350</v>
      </c>
      <c r="F130" s="15">
        <f>Assumptions!$D33+F$9</f>
        <v>350</v>
      </c>
      <c r="G130" s="15">
        <f>Assumptions!$D33+G$9</f>
        <v>350</v>
      </c>
      <c r="H130" s="15">
        <f>Assumptions!$D33+H$9</f>
        <v>350</v>
      </c>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row>
    <row r="131" spans="1:70" s="2" customFormat="1" x14ac:dyDescent="0.35">
      <c r="A131" s="2">
        <f t="shared" ca="1" si="6"/>
        <v>2028</v>
      </c>
      <c r="C131" s="15">
        <f>Assumptions!B34+C$9</f>
        <v>75</v>
      </c>
      <c r="D131" s="15">
        <f>Assumptions!C34+D$9</f>
        <v>75</v>
      </c>
      <c r="E131" s="15">
        <f>Assumptions!$D34+E$9</f>
        <v>350</v>
      </c>
      <c r="F131" s="15">
        <f>Assumptions!$D34+F$9</f>
        <v>350</v>
      </c>
      <c r="G131" s="15">
        <f>Assumptions!$D34+G$9</f>
        <v>350</v>
      </c>
      <c r="H131" s="15">
        <f>Assumptions!$D34+H$9</f>
        <v>350</v>
      </c>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row>
    <row r="132" spans="1:70" s="2" customFormat="1" x14ac:dyDescent="0.35">
      <c r="A132" s="2">
        <f t="shared" ca="1" si="6"/>
        <v>2029</v>
      </c>
      <c r="C132" s="15">
        <f>Assumptions!B35+C$9</f>
        <v>75</v>
      </c>
      <c r="D132" s="15">
        <f>Assumptions!C35+D$9</f>
        <v>75</v>
      </c>
      <c r="E132" s="15">
        <f>Assumptions!$D35+E$9</f>
        <v>350</v>
      </c>
      <c r="F132" s="15">
        <f>Assumptions!$D35+F$9</f>
        <v>350</v>
      </c>
      <c r="G132" s="15">
        <f>Assumptions!$D35+G$9</f>
        <v>350</v>
      </c>
      <c r="H132" s="15">
        <f>Assumptions!$D35+H$9</f>
        <v>350</v>
      </c>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row>
    <row r="133" spans="1:70" s="2" customFormat="1" x14ac:dyDescent="0.35">
      <c r="A133" s="2">
        <f t="shared" ca="1" si="6"/>
        <v>2030</v>
      </c>
      <c r="C133" s="15">
        <f>Assumptions!B36+C$9</f>
        <v>75</v>
      </c>
      <c r="D133" s="15">
        <f>Assumptions!C36+D$9</f>
        <v>75</v>
      </c>
      <c r="E133" s="15">
        <f>Assumptions!$D36+E$9</f>
        <v>350</v>
      </c>
      <c r="F133" s="15">
        <f>Assumptions!$D36+F$9</f>
        <v>350</v>
      </c>
      <c r="G133" s="15">
        <f>Assumptions!$D36+G$9</f>
        <v>350</v>
      </c>
      <c r="H133" s="15">
        <f>Assumptions!$D36+H$9</f>
        <v>350</v>
      </c>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row>
    <row r="134" spans="1:70" s="2" customFormat="1" x14ac:dyDescent="0.35">
      <c r="A134" s="2">
        <f t="shared" ca="1" si="6"/>
        <v>2031</v>
      </c>
      <c r="C134" s="15">
        <f>Assumptions!B37+C$9</f>
        <v>75</v>
      </c>
      <c r="D134" s="15">
        <f>Assumptions!C37+D$9</f>
        <v>75</v>
      </c>
      <c r="E134" s="15">
        <f>Assumptions!$D37+E$9</f>
        <v>350</v>
      </c>
      <c r="F134" s="15">
        <f>Assumptions!$D37+F$9</f>
        <v>350</v>
      </c>
      <c r="G134" s="15">
        <f>Assumptions!$D37+G$9</f>
        <v>350</v>
      </c>
      <c r="H134" s="15">
        <f>Assumptions!$D37+H$9</f>
        <v>350</v>
      </c>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row>
    <row r="135" spans="1:70" s="2" customFormat="1" x14ac:dyDescent="0.35">
      <c r="A135" s="2">
        <f t="shared" ca="1" si="6"/>
        <v>2032</v>
      </c>
      <c r="C135" s="15">
        <f>Assumptions!B38+C$9</f>
        <v>75</v>
      </c>
      <c r="D135" s="15">
        <f>Assumptions!C38+D$9</f>
        <v>75</v>
      </c>
      <c r="E135" s="15">
        <f>Assumptions!$D38+E$9</f>
        <v>75</v>
      </c>
      <c r="F135" s="15">
        <f>Assumptions!$D38+F$9</f>
        <v>75</v>
      </c>
      <c r="G135" s="15">
        <f>Assumptions!$D38+G$9</f>
        <v>75</v>
      </c>
      <c r="H135" s="15">
        <f>Assumptions!$D38+H$9</f>
        <v>75</v>
      </c>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row>
    <row r="136" spans="1:70" s="2" customFormat="1" x14ac:dyDescent="0.35">
      <c r="A136" s="2">
        <f t="shared" ca="1" si="6"/>
        <v>2033</v>
      </c>
      <c r="C136" s="15">
        <f>Assumptions!B39+C$9</f>
        <v>75</v>
      </c>
      <c r="D136" s="15">
        <f>Assumptions!C39+D$9</f>
        <v>75</v>
      </c>
      <c r="E136" s="15">
        <f>Assumptions!$D39+E$9</f>
        <v>75</v>
      </c>
      <c r="F136" s="15">
        <f>Assumptions!$D39+F$9</f>
        <v>75</v>
      </c>
      <c r="G136" s="15">
        <f>Assumptions!$D39+G$9</f>
        <v>75</v>
      </c>
      <c r="H136" s="15">
        <f>Assumptions!$D39+H$9</f>
        <v>75</v>
      </c>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row>
    <row r="137" spans="1:70" s="2" customFormat="1" x14ac:dyDescent="0.35">
      <c r="A137" s="2">
        <f t="shared" ca="1" si="6"/>
        <v>2034</v>
      </c>
      <c r="C137" s="15">
        <f>Assumptions!B40+C$9</f>
        <v>575</v>
      </c>
      <c r="D137" s="15">
        <f>Assumptions!C40+D$9</f>
        <v>575</v>
      </c>
      <c r="E137" s="15">
        <f>Assumptions!$D40+E$9</f>
        <v>75</v>
      </c>
      <c r="F137" s="15">
        <f>Assumptions!$D40+F$9</f>
        <v>75</v>
      </c>
      <c r="G137" s="15">
        <f>Assumptions!$D40+G$9</f>
        <v>75</v>
      </c>
      <c r="H137" s="15">
        <f>Assumptions!$D40+H$9</f>
        <v>75</v>
      </c>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row>
    <row r="138" spans="1:70" s="2" customFormat="1" x14ac:dyDescent="0.35">
      <c r="A138" s="2">
        <f t="shared" ca="1" si="6"/>
        <v>2035</v>
      </c>
      <c r="C138" s="15">
        <f>Assumptions!B41+C$9</f>
        <v>75</v>
      </c>
      <c r="D138" s="15">
        <f>Assumptions!C41+D$9</f>
        <v>75</v>
      </c>
      <c r="E138" s="15">
        <f>Assumptions!$D41+E$9</f>
        <v>75</v>
      </c>
      <c r="F138" s="15">
        <f>Assumptions!$D41+F$9</f>
        <v>75</v>
      </c>
      <c r="G138" s="15">
        <f>Assumptions!$D41+G$9</f>
        <v>75</v>
      </c>
      <c r="H138" s="15">
        <f>Assumptions!$D41+H$9</f>
        <v>75</v>
      </c>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row>
    <row r="139" spans="1:70" s="2" customFormat="1" x14ac:dyDescent="0.35">
      <c r="A139" s="2">
        <f t="shared" ca="1" si="6"/>
        <v>2036</v>
      </c>
      <c r="C139" s="15">
        <f>Assumptions!B42+C$9</f>
        <v>75</v>
      </c>
      <c r="D139" s="15">
        <f>Assumptions!C42+D$9</f>
        <v>75</v>
      </c>
      <c r="E139" s="15">
        <f>Assumptions!$D42+E$9</f>
        <v>75</v>
      </c>
      <c r="F139" s="15">
        <f>Assumptions!$D42+F$9</f>
        <v>75</v>
      </c>
      <c r="G139" s="15">
        <f>Assumptions!$D42+G$9</f>
        <v>75</v>
      </c>
      <c r="H139" s="15">
        <f>Assumptions!$D42+H$9</f>
        <v>75</v>
      </c>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row>
    <row r="140" spans="1:70" s="2" customFormat="1" x14ac:dyDescent="0.35">
      <c r="A140" s="2">
        <f t="shared" ca="1" si="6"/>
        <v>2037</v>
      </c>
      <c r="C140" s="15">
        <f>Assumptions!B43+C$9</f>
        <v>75</v>
      </c>
      <c r="D140" s="15">
        <f>Assumptions!C43+D$9</f>
        <v>75</v>
      </c>
      <c r="E140" s="15">
        <f>Assumptions!$D43+E$9</f>
        <v>75</v>
      </c>
      <c r="F140" s="15">
        <f>Assumptions!$D43+F$9</f>
        <v>75</v>
      </c>
      <c r="G140" s="15">
        <f>Assumptions!$D43+G$9</f>
        <v>75</v>
      </c>
      <c r="H140" s="15">
        <f>Assumptions!$D43+H$9</f>
        <v>75</v>
      </c>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row>
    <row r="141" spans="1:70" s="2" customFormat="1" x14ac:dyDescent="0.35">
      <c r="A141" s="2">
        <f t="shared" ca="1" si="6"/>
        <v>2038</v>
      </c>
      <c r="C141" s="15">
        <f>Assumptions!B44+C$9</f>
        <v>75</v>
      </c>
      <c r="D141" s="15">
        <f>Assumptions!C44+D$9</f>
        <v>75</v>
      </c>
      <c r="E141" s="15">
        <f>Assumptions!$D44+E$9</f>
        <v>75</v>
      </c>
      <c r="F141" s="15">
        <f>Assumptions!$D44+F$9</f>
        <v>75</v>
      </c>
      <c r="G141" s="15">
        <f>Assumptions!$D44+G$9</f>
        <v>75</v>
      </c>
      <c r="H141" s="15">
        <f>Assumptions!$D44+H$9</f>
        <v>75</v>
      </c>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row>
    <row r="142" spans="1:70" s="2" customFormat="1" x14ac:dyDescent="0.35">
      <c r="A142" s="2">
        <f t="shared" ca="1" si="6"/>
        <v>2039</v>
      </c>
      <c r="C142" s="15">
        <f>Assumptions!B45+C$9</f>
        <v>75</v>
      </c>
      <c r="D142" s="15">
        <f>Assumptions!C45+D$9</f>
        <v>75</v>
      </c>
      <c r="E142" s="15">
        <f>Assumptions!$D45+E$9</f>
        <v>75</v>
      </c>
      <c r="F142" s="15">
        <f>Assumptions!$D45+F$9</f>
        <v>75</v>
      </c>
      <c r="G142" s="15">
        <f>Assumptions!$D45+G$9</f>
        <v>75</v>
      </c>
      <c r="H142" s="15">
        <f>Assumptions!$D45+H$9</f>
        <v>75</v>
      </c>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row>
    <row r="143" spans="1:70" s="2" customFormat="1" x14ac:dyDescent="0.35">
      <c r="A143" s="2">
        <f t="shared" ca="1" si="6"/>
        <v>2040</v>
      </c>
      <c r="C143" s="15">
        <f>Assumptions!B46+C$9</f>
        <v>75</v>
      </c>
      <c r="D143" s="15">
        <f>Assumptions!C46+D$9</f>
        <v>75</v>
      </c>
      <c r="E143" s="15">
        <f>Assumptions!$D46+E$9</f>
        <v>75</v>
      </c>
      <c r="F143" s="15">
        <f>Assumptions!$D46+F$9</f>
        <v>75</v>
      </c>
      <c r="G143" s="15">
        <f>Assumptions!$D46+G$9</f>
        <v>75</v>
      </c>
      <c r="H143" s="15">
        <f>Assumptions!$D46+H$9</f>
        <v>75</v>
      </c>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row>
    <row r="144" spans="1:70" s="2" customFormat="1" x14ac:dyDescent="0.35">
      <c r="A144" s="2">
        <f t="shared" ca="1" si="6"/>
        <v>2041</v>
      </c>
      <c r="C144" s="15">
        <f>Assumptions!B47+C$9</f>
        <v>75</v>
      </c>
      <c r="D144" s="15">
        <f>Assumptions!C47+D$9</f>
        <v>75</v>
      </c>
      <c r="E144" s="15">
        <f>Assumptions!$D47+E$9</f>
        <v>75</v>
      </c>
      <c r="F144" s="15">
        <f>Assumptions!$D47+F$9</f>
        <v>75</v>
      </c>
      <c r="G144" s="15">
        <f>Assumptions!$D47+G$9</f>
        <v>75</v>
      </c>
      <c r="H144" s="15">
        <f>Assumptions!$D47+H$9</f>
        <v>75</v>
      </c>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row>
    <row r="145" spans="1:69" s="2" customFormat="1" x14ac:dyDescent="0.35">
      <c r="A145" s="2">
        <f t="shared" ca="1" si="6"/>
        <v>2042</v>
      </c>
      <c r="C145" s="15">
        <f>Assumptions!B48+C$9</f>
        <v>75</v>
      </c>
      <c r="D145" s="15">
        <f>Assumptions!C48+D$9</f>
        <v>75</v>
      </c>
      <c r="E145" s="15">
        <f>Assumptions!$D48+E$9</f>
        <v>75</v>
      </c>
      <c r="F145" s="15">
        <f>Assumptions!$D48+F$9</f>
        <v>75</v>
      </c>
      <c r="G145" s="15">
        <f>Assumptions!$D48+G$9</f>
        <v>75</v>
      </c>
      <c r="H145" s="15">
        <f>Assumptions!$D48+H$9</f>
        <v>75</v>
      </c>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row>
    <row r="146" spans="1:69" s="2" customFormat="1" x14ac:dyDescent="0.35">
      <c r="A146" s="2">
        <f t="shared" ca="1" si="6"/>
        <v>2043</v>
      </c>
      <c r="C146" s="15">
        <f>Assumptions!B49+C$9</f>
        <v>75</v>
      </c>
      <c r="D146" s="15">
        <f>Assumptions!C49+D$9</f>
        <v>75</v>
      </c>
      <c r="E146" s="15">
        <f>Assumptions!$D49+E$9</f>
        <v>75</v>
      </c>
      <c r="F146" s="15">
        <f>Assumptions!$D49+F$9</f>
        <v>75</v>
      </c>
      <c r="G146" s="15">
        <f>Assumptions!$D49+G$9</f>
        <v>75</v>
      </c>
      <c r="H146" s="15">
        <f>Assumptions!$D49+H$9</f>
        <v>75</v>
      </c>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row>
    <row r="147" spans="1:69" s="2" customFormat="1" x14ac:dyDescent="0.35">
      <c r="A147" s="2">
        <f t="shared" ca="1" si="6"/>
        <v>2044</v>
      </c>
      <c r="C147" s="15">
        <f>Assumptions!B50+C$9</f>
        <v>75</v>
      </c>
      <c r="D147" s="15">
        <f>Assumptions!C50+D$9</f>
        <v>75</v>
      </c>
      <c r="E147" s="15">
        <f>Assumptions!$D50+E$9</f>
        <v>75</v>
      </c>
      <c r="F147" s="15">
        <f>Assumptions!$D50+F$9</f>
        <v>75</v>
      </c>
      <c r="G147" s="15">
        <f>Assumptions!$D50+G$9</f>
        <v>75</v>
      </c>
      <c r="H147" s="15">
        <f>Assumptions!$D50+H$9</f>
        <v>75</v>
      </c>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row>
    <row r="148" spans="1:69" s="2" customFormat="1" x14ac:dyDescent="0.35">
      <c r="A148" s="2">
        <f t="shared" ca="1" si="6"/>
        <v>2045</v>
      </c>
      <c r="C148" s="15">
        <f>Assumptions!B51+C$9</f>
        <v>75</v>
      </c>
      <c r="D148" s="15">
        <f>Assumptions!C51+D$9</f>
        <v>75</v>
      </c>
      <c r="E148" s="15">
        <f>Assumptions!$D51+E$9</f>
        <v>75</v>
      </c>
      <c r="F148" s="15">
        <f>Assumptions!$D51+F$9</f>
        <v>75</v>
      </c>
      <c r="G148" s="15">
        <f>Assumptions!$D51+G$9</f>
        <v>75</v>
      </c>
      <c r="H148" s="15">
        <f>Assumptions!$D51+H$9</f>
        <v>75</v>
      </c>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row>
    <row r="149" spans="1:69" s="2" customFormat="1" x14ac:dyDescent="0.35">
      <c r="A149" s="2">
        <f t="shared" ca="1" si="6"/>
        <v>2046</v>
      </c>
      <c r="C149" s="15">
        <f>Assumptions!B52+C$9</f>
        <v>75</v>
      </c>
      <c r="D149" s="15">
        <f>Assumptions!C52+D$9</f>
        <v>75</v>
      </c>
      <c r="E149" s="15">
        <f>Assumptions!$D52+E$9</f>
        <v>75</v>
      </c>
      <c r="F149" s="15">
        <f>Assumptions!$D52+F$9</f>
        <v>75</v>
      </c>
      <c r="G149" s="15">
        <f>Assumptions!$D52+G$9</f>
        <v>75</v>
      </c>
      <c r="H149" s="15">
        <f>Assumptions!$D52+H$9</f>
        <v>75</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row>
    <row r="150" spans="1:69" s="2" customFormat="1" x14ac:dyDescent="0.35">
      <c r="A150" s="2">
        <f t="shared" ca="1" si="6"/>
        <v>2047</v>
      </c>
      <c r="C150" s="15">
        <f>Assumptions!B53+C$9</f>
        <v>75</v>
      </c>
      <c r="D150" s="15">
        <f>Assumptions!C53+D$9</f>
        <v>75</v>
      </c>
      <c r="E150" s="15">
        <f>Assumptions!$D53+E$9</f>
        <v>75</v>
      </c>
      <c r="F150" s="15">
        <f>Assumptions!$D53+F$9</f>
        <v>75</v>
      </c>
      <c r="G150" s="15">
        <f>Assumptions!$D53+G$9</f>
        <v>75</v>
      </c>
      <c r="H150" s="15">
        <f>Assumptions!$D53+H$9</f>
        <v>75</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row>
    <row r="151" spans="1:69" s="2" customFormat="1" x14ac:dyDescent="0.35">
      <c r="A151" s="2">
        <f t="shared" ca="1" si="6"/>
        <v>2048</v>
      </c>
      <c r="C151" s="15">
        <f>Assumptions!B54+C$9</f>
        <v>75</v>
      </c>
      <c r="D151" s="15">
        <f>Assumptions!C54+D$9</f>
        <v>75</v>
      </c>
      <c r="E151" s="15">
        <f>Assumptions!$D54+E$9</f>
        <v>75</v>
      </c>
      <c r="F151" s="15">
        <f>Assumptions!$D54+F$9</f>
        <v>75</v>
      </c>
      <c r="G151" s="15">
        <f>Assumptions!$D54+G$9</f>
        <v>75</v>
      </c>
      <c r="H151" s="15">
        <f>Assumptions!$D54+H$9</f>
        <v>75</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row>
    <row r="152" spans="1:69" s="2" customFormat="1" x14ac:dyDescent="0.35">
      <c r="A152" s="2">
        <f t="shared" ca="1" si="6"/>
        <v>2049</v>
      </c>
      <c r="C152" s="15">
        <f>Assumptions!B55+C$9</f>
        <v>75</v>
      </c>
      <c r="D152" s="15">
        <f>Assumptions!C55+D$9</f>
        <v>75</v>
      </c>
      <c r="E152" s="15">
        <f>Assumptions!$D55+E$9</f>
        <v>75</v>
      </c>
      <c r="F152" s="15">
        <f>Assumptions!$D55+F$9</f>
        <v>75</v>
      </c>
      <c r="G152" s="15">
        <f>Assumptions!$D55+G$9</f>
        <v>75</v>
      </c>
      <c r="H152" s="15">
        <f>Assumptions!$D55+H$9</f>
        <v>75</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row>
    <row r="153" spans="1:69" s="2" customFormat="1" x14ac:dyDescent="0.35">
      <c r="A153" s="2">
        <f t="shared" ca="1" si="6"/>
        <v>2050</v>
      </c>
      <c r="C153" s="15">
        <f>Assumptions!B56+C$9</f>
        <v>75</v>
      </c>
      <c r="D153" s="15">
        <f>Assumptions!C56+D$9</f>
        <v>75</v>
      </c>
      <c r="E153" s="15">
        <f>Assumptions!$D56+E$9</f>
        <v>75</v>
      </c>
      <c r="F153" s="15">
        <f>Assumptions!$D56+F$9</f>
        <v>75</v>
      </c>
      <c r="G153" s="15">
        <f>Assumptions!$D56+G$9</f>
        <v>75</v>
      </c>
      <c r="H153" s="15">
        <f>Assumptions!$D56+H$9</f>
        <v>75</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row>
    <row r="154" spans="1:69" s="2" customFormat="1" x14ac:dyDescent="0.35">
      <c r="A154" s="2">
        <f t="shared" ca="1" si="6"/>
        <v>2051</v>
      </c>
      <c r="C154" s="15">
        <f>Assumptions!B57+C$9</f>
        <v>75</v>
      </c>
      <c r="D154" s="15">
        <f>Assumptions!C57+D$9</f>
        <v>75</v>
      </c>
      <c r="E154" s="15">
        <f>Assumptions!$D57+E$9</f>
        <v>75</v>
      </c>
      <c r="F154" s="15">
        <f>Assumptions!$D57+F$9</f>
        <v>75</v>
      </c>
      <c r="G154" s="15">
        <f>Assumptions!$D57+G$9</f>
        <v>75</v>
      </c>
      <c r="H154" s="15">
        <f>Assumptions!$D57+H$9</f>
        <v>75</v>
      </c>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row>
    <row r="155" spans="1:69" s="2" customFormat="1" x14ac:dyDescent="0.35">
      <c r="A155" s="2">
        <f t="shared" ca="1" si="6"/>
        <v>2052</v>
      </c>
      <c r="C155" s="15">
        <f>Assumptions!B58+C$9</f>
        <v>75</v>
      </c>
      <c r="D155" s="15">
        <f>Assumptions!C58+D$9</f>
        <v>75</v>
      </c>
      <c r="E155" s="15">
        <f>Assumptions!$D58+E$9</f>
        <v>75</v>
      </c>
      <c r="F155" s="15">
        <f>Assumptions!$D58+F$9</f>
        <v>75</v>
      </c>
      <c r="G155" s="15">
        <f>Assumptions!$D58+G$9</f>
        <v>75</v>
      </c>
      <c r="H155" s="15">
        <f>Assumptions!$D58+H$9</f>
        <v>75</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row>
    <row r="156" spans="1:69" s="2" customFormat="1" x14ac:dyDescent="0.35">
      <c r="A156" s="2">
        <f t="shared" ca="1" si="6"/>
        <v>2053</v>
      </c>
      <c r="C156" s="15">
        <f>Assumptions!B59+C$9</f>
        <v>75</v>
      </c>
      <c r="D156" s="15">
        <f>Assumptions!C59+D$9</f>
        <v>75</v>
      </c>
      <c r="E156" s="15">
        <f>Assumptions!$D59+E$9</f>
        <v>75</v>
      </c>
      <c r="F156" s="15">
        <f>Assumptions!$D59+F$9</f>
        <v>75</v>
      </c>
      <c r="G156" s="15">
        <f>Assumptions!$D59+G$9</f>
        <v>75</v>
      </c>
      <c r="H156" s="15">
        <f>Assumptions!$D59+H$9</f>
        <v>75</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row>
    <row r="157" spans="1:69" s="2" customFormat="1" x14ac:dyDescent="0.35">
      <c r="A157" s="2">
        <f t="shared" ca="1" si="6"/>
        <v>2054</v>
      </c>
      <c r="C157" s="15">
        <f>Assumptions!B60+C$9</f>
        <v>75</v>
      </c>
      <c r="D157" s="15">
        <f>Assumptions!C60+D$9</f>
        <v>0</v>
      </c>
      <c r="E157" s="15">
        <f>Assumptions!$D60+E$9</f>
        <v>75</v>
      </c>
      <c r="F157" s="15">
        <f>Assumptions!$D60+F$9</f>
        <v>75</v>
      </c>
      <c r="G157" s="15">
        <f>Assumptions!$D60+G$9</f>
        <v>75</v>
      </c>
      <c r="H157" s="15">
        <f>Assumptions!$D60+H$9</f>
        <v>75</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row>
    <row r="158" spans="1:69" s="2" customFormat="1" x14ac:dyDescent="0.35">
      <c r="A158" s="2">
        <f t="shared" ca="1" si="6"/>
        <v>2055</v>
      </c>
      <c r="C158" s="15">
        <f>Assumptions!B61+C$9</f>
        <v>75</v>
      </c>
      <c r="D158" s="15">
        <f>Assumptions!C61+D$9</f>
        <v>0</v>
      </c>
      <c r="E158" s="15">
        <f>Assumptions!$D61+E$9</f>
        <v>75</v>
      </c>
      <c r="F158" s="15">
        <f>Assumptions!$D61+F$9</f>
        <v>75</v>
      </c>
      <c r="G158" s="15">
        <f>Assumptions!$D61+G$9</f>
        <v>75</v>
      </c>
      <c r="H158" s="15">
        <f>Assumptions!$D61+H$9</f>
        <v>75</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row>
    <row r="159" spans="1:69" s="2" customFormat="1" x14ac:dyDescent="0.35">
      <c r="A159" s="2">
        <f t="shared" ca="1" si="6"/>
        <v>2056</v>
      </c>
      <c r="C159" s="15">
        <f>Assumptions!B62+C$9</f>
        <v>75</v>
      </c>
      <c r="D159" s="15">
        <f>Assumptions!C62+D$9</f>
        <v>0</v>
      </c>
      <c r="E159" s="15">
        <f>Assumptions!$D62+E$9</f>
        <v>75</v>
      </c>
      <c r="F159" s="15">
        <f>Assumptions!$D62+F$9</f>
        <v>75</v>
      </c>
      <c r="G159" s="15">
        <f>Assumptions!$D62+G$9</f>
        <v>75</v>
      </c>
      <c r="H159" s="15">
        <f>Assumptions!$D62+H$9</f>
        <v>75</v>
      </c>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row>
    <row r="160" spans="1:69" s="2" customFormat="1" x14ac:dyDescent="0.35">
      <c r="A160" s="2">
        <f t="shared" ca="1" si="6"/>
        <v>2057</v>
      </c>
      <c r="C160" s="15">
        <f>Assumptions!B63+C$9</f>
        <v>75</v>
      </c>
      <c r="D160" s="15">
        <f>Assumptions!C63+D$9</f>
        <v>0</v>
      </c>
      <c r="E160" s="15">
        <f>Assumptions!$D63+E$9</f>
        <v>75</v>
      </c>
      <c r="F160" s="15">
        <f>Assumptions!$D63+F$9</f>
        <v>75</v>
      </c>
      <c r="G160" s="15">
        <f>Assumptions!$D63+G$9</f>
        <v>75</v>
      </c>
      <c r="H160" s="15">
        <f>Assumptions!$D63+H$9</f>
        <v>75</v>
      </c>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row>
    <row r="161" spans="1:69" s="2" customFormat="1" x14ac:dyDescent="0.35">
      <c r="A161" s="2">
        <f t="shared" ca="1" si="6"/>
        <v>2058</v>
      </c>
      <c r="C161" s="15">
        <f>Assumptions!B64+C$9</f>
        <v>75</v>
      </c>
      <c r="D161" s="15">
        <f>Assumptions!C64+D$9</f>
        <v>0</v>
      </c>
      <c r="E161" s="15">
        <f>Assumptions!$D64+E$9</f>
        <v>75</v>
      </c>
      <c r="F161" s="15">
        <f>Assumptions!$D64+F$9</f>
        <v>75</v>
      </c>
      <c r="G161" s="15">
        <f>Assumptions!$D64+G$9</f>
        <v>75</v>
      </c>
      <c r="H161" s="15">
        <f>Assumptions!$D64+H$9</f>
        <v>75</v>
      </c>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row>
    <row r="162" spans="1:69" s="2" customFormat="1" x14ac:dyDescent="0.35">
      <c r="A162" s="2">
        <f t="shared" ca="1" si="6"/>
        <v>2059</v>
      </c>
      <c r="C162" s="15">
        <f>Assumptions!B65+C$9</f>
        <v>75</v>
      </c>
      <c r="D162" s="15">
        <f>Assumptions!C65+D$9</f>
        <v>0</v>
      </c>
      <c r="E162" s="15">
        <f>Assumptions!$D65+E$9</f>
        <v>75</v>
      </c>
      <c r="F162" s="15">
        <f>Assumptions!$D65+F$9</f>
        <v>75</v>
      </c>
      <c r="G162" s="15">
        <f>Assumptions!$D65+G$9</f>
        <v>75</v>
      </c>
      <c r="H162" s="15">
        <f>Assumptions!$D65+H$9</f>
        <v>75</v>
      </c>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row>
    <row r="163" spans="1:69" s="2" customFormat="1" x14ac:dyDescent="0.35">
      <c r="A163" s="2">
        <f t="shared" ca="1" si="6"/>
        <v>2060</v>
      </c>
      <c r="C163" s="15">
        <f>Assumptions!B66+C$9</f>
        <v>75</v>
      </c>
      <c r="D163" s="15">
        <f>Assumptions!C66+D$9</f>
        <v>0</v>
      </c>
      <c r="E163" s="15">
        <f>Assumptions!$D66+E$9</f>
        <v>75</v>
      </c>
      <c r="F163" s="15">
        <f>Assumptions!$D66+F$9</f>
        <v>75</v>
      </c>
      <c r="G163" s="15">
        <f>Assumptions!$D66+G$9</f>
        <v>75</v>
      </c>
      <c r="H163" s="15">
        <f>Assumptions!$D66+H$9</f>
        <v>75</v>
      </c>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row>
    <row r="164" spans="1:69" s="2" customFormat="1" x14ac:dyDescent="0.35">
      <c r="A164" s="2">
        <f t="shared" ca="1" si="6"/>
        <v>2061</v>
      </c>
      <c r="C164" s="15">
        <f>Assumptions!B67+C$9</f>
        <v>75</v>
      </c>
      <c r="D164" s="15">
        <f>Assumptions!C67+D$9</f>
        <v>0</v>
      </c>
      <c r="E164" s="15">
        <f>Assumptions!$D67+E$9</f>
        <v>75</v>
      </c>
      <c r="F164" s="15">
        <f>Assumptions!$D67+F$9</f>
        <v>75</v>
      </c>
      <c r="G164" s="15">
        <f>Assumptions!$D67+G$9</f>
        <v>75</v>
      </c>
      <c r="H164" s="15">
        <f>Assumptions!$D67+H$9</f>
        <v>75</v>
      </c>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row>
    <row r="165" spans="1:69" s="2" customFormat="1" x14ac:dyDescent="0.35">
      <c r="A165" s="2">
        <f t="shared" ca="1" si="6"/>
        <v>2062</v>
      </c>
      <c r="C165" s="15">
        <f>Assumptions!B68+C$9</f>
        <v>75</v>
      </c>
      <c r="D165" s="15">
        <f>Assumptions!C68+D$9</f>
        <v>0</v>
      </c>
      <c r="E165" s="15">
        <f>Assumptions!$D68+E$9</f>
        <v>75</v>
      </c>
      <c r="F165" s="15">
        <f>Assumptions!$D68+F$9</f>
        <v>75</v>
      </c>
      <c r="G165" s="15">
        <f>Assumptions!$D68+G$9</f>
        <v>75</v>
      </c>
      <c r="H165" s="15">
        <f>Assumptions!$D68+H$9</f>
        <v>75</v>
      </c>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row>
    <row r="166" spans="1:69" s="2" customFormat="1" x14ac:dyDescent="0.35">
      <c r="A166" s="2">
        <f t="shared" ca="1" si="6"/>
        <v>2063</v>
      </c>
      <c r="C166" s="15">
        <f>Assumptions!B69+C$9</f>
        <v>75</v>
      </c>
      <c r="D166" s="15">
        <f>Assumptions!C69+D$9</f>
        <v>0</v>
      </c>
      <c r="E166" s="15">
        <f>Assumptions!$D69+E$9</f>
        <v>75</v>
      </c>
      <c r="F166" s="15">
        <f>Assumptions!$D69+F$9</f>
        <v>75</v>
      </c>
      <c r="G166" s="15">
        <f>Assumptions!$D69+G$9</f>
        <v>75</v>
      </c>
      <c r="H166" s="15">
        <f>Assumptions!$D69+H$9</f>
        <v>75</v>
      </c>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row>
    <row r="167" spans="1:69" s="2" customFormat="1" x14ac:dyDescent="0.35">
      <c r="A167" s="2">
        <f t="shared" ca="1" si="6"/>
        <v>2064</v>
      </c>
      <c r="C167" s="15">
        <f>Assumptions!B70+C$9</f>
        <v>75</v>
      </c>
      <c r="D167" s="15">
        <f>Assumptions!C70+D$9</f>
        <v>0</v>
      </c>
      <c r="E167" s="15">
        <f>Assumptions!$D70+E$9</f>
        <v>75</v>
      </c>
      <c r="F167" s="15">
        <f>Assumptions!$D70+F$9</f>
        <v>75</v>
      </c>
      <c r="G167" s="15">
        <f>Assumptions!$D70+G$9</f>
        <v>75</v>
      </c>
      <c r="H167" s="15">
        <f>Assumptions!$D70+H$9</f>
        <v>75</v>
      </c>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row>
    <row r="168" spans="1:69" s="2" customFormat="1" x14ac:dyDescent="0.35">
      <c r="A168" s="2">
        <f t="shared" ca="1" si="6"/>
        <v>2065</v>
      </c>
      <c r="C168" s="15">
        <f>Assumptions!B71+C$9</f>
        <v>75</v>
      </c>
      <c r="D168" s="15">
        <f>Assumptions!C71+D$9</f>
        <v>0</v>
      </c>
      <c r="E168" s="15">
        <f>Assumptions!$D71+E$9</f>
        <v>75</v>
      </c>
      <c r="F168" s="15">
        <f>Assumptions!$D71+F$9</f>
        <v>75</v>
      </c>
      <c r="G168" s="15">
        <f>Assumptions!$D71+G$9</f>
        <v>75</v>
      </c>
      <c r="H168" s="15">
        <f>Assumptions!$D71+H$9</f>
        <v>75</v>
      </c>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row>
    <row r="169" spans="1:69" s="2" customFormat="1" x14ac:dyDescent="0.35">
      <c r="A169" s="2">
        <f t="shared" ca="1" si="6"/>
        <v>2066</v>
      </c>
      <c r="C169" s="15">
        <f>Assumptions!B72+C$9</f>
        <v>75</v>
      </c>
      <c r="D169" s="15">
        <f>Assumptions!C72+D$9</f>
        <v>0</v>
      </c>
      <c r="E169" s="15">
        <f>Assumptions!$D72+E$9</f>
        <v>75</v>
      </c>
      <c r="F169" s="15">
        <f>Assumptions!$D72+F$9</f>
        <v>75</v>
      </c>
      <c r="G169" s="15">
        <f>Assumptions!$D72+G$9</f>
        <v>75</v>
      </c>
      <c r="H169" s="15">
        <f>Assumptions!$D72+H$9</f>
        <v>75</v>
      </c>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row>
    <row r="170" spans="1:69" s="2" customFormat="1" x14ac:dyDescent="0.35">
      <c r="A170" s="2">
        <f t="shared" ca="1" si="6"/>
        <v>2067</v>
      </c>
      <c r="C170" s="15">
        <f>Assumptions!B73+C$9</f>
        <v>75</v>
      </c>
      <c r="D170" s="15">
        <f>Assumptions!C73+D$9</f>
        <v>0</v>
      </c>
      <c r="E170" s="15">
        <f>Assumptions!$D73+E$9</f>
        <v>75</v>
      </c>
      <c r="F170" s="15">
        <f>Assumptions!$D73+F$9</f>
        <v>75</v>
      </c>
      <c r="G170" s="15">
        <f>Assumptions!$D73+G$9</f>
        <v>75</v>
      </c>
      <c r="H170" s="15">
        <f>Assumptions!$D73+H$9</f>
        <v>75</v>
      </c>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row>
    <row r="171" spans="1:69" s="2" customFormat="1" x14ac:dyDescent="0.35">
      <c r="A171" s="2">
        <f t="shared" ca="1" si="6"/>
        <v>2068</v>
      </c>
      <c r="C171" s="15">
        <f>Assumptions!B74+C$9</f>
        <v>75</v>
      </c>
      <c r="D171" s="15">
        <f>Assumptions!C74+D$9</f>
        <v>0</v>
      </c>
      <c r="E171" s="15">
        <f>Assumptions!$D74+E$9</f>
        <v>75</v>
      </c>
      <c r="F171" s="15">
        <f>Assumptions!$D74+F$9</f>
        <v>75</v>
      </c>
      <c r="G171" s="15">
        <f>Assumptions!$D74+G$9</f>
        <v>75</v>
      </c>
      <c r="H171" s="15">
        <f>Assumptions!$D74+H$9</f>
        <v>75</v>
      </c>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row>
    <row r="172" spans="1:69" s="2" customFormat="1" x14ac:dyDescent="0.35">
      <c r="A172" s="2">
        <f t="shared" ca="1" si="6"/>
        <v>2069</v>
      </c>
      <c r="C172" s="15">
        <f>Assumptions!B75+C$9</f>
        <v>75</v>
      </c>
      <c r="D172" s="15">
        <f>Assumptions!C75+D$9</f>
        <v>0</v>
      </c>
      <c r="E172" s="15">
        <f>Assumptions!$D75+E$9</f>
        <v>75</v>
      </c>
      <c r="F172" s="15">
        <f>Assumptions!$D75+F$9</f>
        <v>75</v>
      </c>
      <c r="G172" s="15">
        <f>Assumptions!$D75+G$9</f>
        <v>75</v>
      </c>
      <c r="H172" s="15">
        <f>Assumptions!$D75+H$9</f>
        <v>75</v>
      </c>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row>
    <row r="173" spans="1:69" s="2" customFormat="1" x14ac:dyDescent="0.35">
      <c r="A173" s="2">
        <f t="shared" ca="1" si="6"/>
        <v>2070</v>
      </c>
      <c r="C173" s="15">
        <f>Assumptions!B76+C$9</f>
        <v>75</v>
      </c>
      <c r="D173" s="15">
        <f>Assumptions!C76+D$9</f>
        <v>0</v>
      </c>
      <c r="E173" s="15">
        <f>Assumptions!$D76+E$9</f>
        <v>75</v>
      </c>
      <c r="F173" s="15">
        <f>Assumptions!$D76+F$9</f>
        <v>75</v>
      </c>
      <c r="G173" s="15">
        <f>Assumptions!$D76+G$9</f>
        <v>75</v>
      </c>
      <c r="H173" s="15">
        <f>Assumptions!$D76+H$9</f>
        <v>75</v>
      </c>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row>
    <row r="174" spans="1:69" s="2" customFormat="1" x14ac:dyDescent="0.35">
      <c r="A174" s="2">
        <f t="shared" ca="1" si="6"/>
        <v>2071</v>
      </c>
      <c r="C174" s="15">
        <f>Assumptions!B77+C$9</f>
        <v>75</v>
      </c>
      <c r="D174" s="15">
        <f>Assumptions!C77+D$9</f>
        <v>0</v>
      </c>
      <c r="E174" s="15">
        <f>Assumptions!$D77+E$9</f>
        <v>75</v>
      </c>
      <c r="F174" s="15">
        <f>Assumptions!$D77+F$9</f>
        <v>75</v>
      </c>
      <c r="G174" s="15">
        <f>Assumptions!$D77+G$9</f>
        <v>75</v>
      </c>
      <c r="H174" s="15">
        <f>Assumptions!$D77+H$9</f>
        <v>75</v>
      </c>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row>
    <row r="175" spans="1:69" s="2" customFormat="1" x14ac:dyDescent="0.35">
      <c r="A175" s="2">
        <f t="shared" ca="1" si="6"/>
        <v>2072</v>
      </c>
      <c r="C175" s="15">
        <f>Assumptions!B78+C$9</f>
        <v>75</v>
      </c>
      <c r="D175" s="15">
        <f>Assumptions!C78+D$9</f>
        <v>0</v>
      </c>
      <c r="E175" s="15">
        <f>Assumptions!$D78+E$9</f>
        <v>75</v>
      </c>
      <c r="F175" s="15">
        <f>Assumptions!$D78+F$9</f>
        <v>75</v>
      </c>
      <c r="G175" s="15">
        <f>Assumptions!$D78+G$9</f>
        <v>75</v>
      </c>
      <c r="H175" s="15">
        <f>Assumptions!$D78+H$9</f>
        <v>75</v>
      </c>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row>
    <row r="176" spans="1:69" s="2" customFormat="1" x14ac:dyDescent="0.35">
      <c r="A176" s="2">
        <f t="shared" ca="1" si="6"/>
        <v>2073</v>
      </c>
      <c r="C176" s="15">
        <f>Assumptions!B79+C$9</f>
        <v>75</v>
      </c>
      <c r="D176" s="15">
        <f>Assumptions!C79+D$9</f>
        <v>0</v>
      </c>
      <c r="E176" s="15">
        <f>Assumptions!$D79+E$9</f>
        <v>75</v>
      </c>
      <c r="F176" s="15">
        <f>Assumptions!$D79+F$9</f>
        <v>75</v>
      </c>
      <c r="G176" s="15">
        <f>Assumptions!$D79+G$9</f>
        <v>75</v>
      </c>
      <c r="H176" s="15">
        <f>Assumptions!$D79+H$9</f>
        <v>75</v>
      </c>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row>
    <row r="177" spans="1:70" s="2" customFormat="1" x14ac:dyDescent="0.35">
      <c r="A177" s="2">
        <f t="shared" ca="1" si="6"/>
        <v>2074</v>
      </c>
      <c r="C177" s="15">
        <f>Assumptions!B80+C$9</f>
        <v>75</v>
      </c>
      <c r="D177" s="15">
        <f>Assumptions!C80+D$9</f>
        <v>0</v>
      </c>
      <c r="E177" s="15">
        <f>Assumptions!$D80+E$9</f>
        <v>75</v>
      </c>
      <c r="F177" s="15">
        <f>Assumptions!$D80+F$9</f>
        <v>75</v>
      </c>
      <c r="G177" s="15">
        <f>Assumptions!$D80+G$9</f>
        <v>75</v>
      </c>
      <c r="H177" s="15">
        <f>Assumptions!$D80+H$9</f>
        <v>75</v>
      </c>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row>
    <row r="178" spans="1:70" s="2" customFormat="1" x14ac:dyDescent="0.35">
      <c r="A178" s="5">
        <f t="shared" ca="1" si="6"/>
        <v>2075</v>
      </c>
      <c r="B178" s="5"/>
      <c r="C178" s="153">
        <f>Assumptions!B81+C$9</f>
        <v>75</v>
      </c>
      <c r="D178" s="153">
        <f>Assumptions!C81+D$9</f>
        <v>0</v>
      </c>
      <c r="E178" s="153">
        <f>Assumptions!$D81+E$9</f>
        <v>75</v>
      </c>
      <c r="F178" s="153">
        <f>Assumptions!$D81+F$9</f>
        <v>75</v>
      </c>
      <c r="G178" s="153">
        <f>Assumptions!$D81+G$9</f>
        <v>75</v>
      </c>
      <c r="H178" s="153">
        <f>Assumptions!$D81+H$9</f>
        <v>75</v>
      </c>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s="5"/>
    </row>
    <row r="179" spans="1:70" s="5" customFormat="1" x14ac:dyDescent="0.35">
      <c r="A179" s="6" t="s">
        <v>277</v>
      </c>
      <c r="C179" s="2"/>
      <c r="D179" s="2"/>
      <c r="E179" s="2"/>
      <c r="F179" s="2"/>
      <c r="G179" s="2"/>
      <c r="H179" s="2"/>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s="2"/>
    </row>
    <row r="180" spans="1:70" s="2" customFormat="1" x14ac:dyDescent="0.35">
      <c r="A180" s="4">
        <f ca="1">YEAR(TODAY())</f>
        <v>2025</v>
      </c>
      <c r="B180" s="6" t="s">
        <v>278</v>
      </c>
      <c r="C180" s="123"/>
      <c r="D180" s="123"/>
      <c r="E180" s="123"/>
      <c r="F180" s="123"/>
      <c r="G180" s="123"/>
      <c r="H180" s="123"/>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s="6"/>
    </row>
    <row r="181" spans="1:70" s="6" customFormat="1" x14ac:dyDescent="0.35">
      <c r="A181" s="6">
        <f ca="1">A180+1</f>
        <v>2026</v>
      </c>
      <c r="C181" s="16" t="e">
        <f>IF($C$8=Assumptions!$I$30,Assumptions!E31*Assumptions!$I31*#REF!,IF($C$8=Assumptions!$J$30,Assumptions!E31*Assumptions!$J31*#REF!,IF($C$8=Assumptions!$K$30,Assumptions!E31*Assumptions!$K31*#REF!,Assumptions!E31*Assumptions!$L31*#REF!)))</f>
        <v>#REF!</v>
      </c>
      <c r="D181" s="16" t="e">
        <f>IF($C$8=Assumptions!$I$30,Assumptions!F31*Assumptions!$I31*#REF!,IF($C$8=Assumptions!$J$30,Assumptions!F31*Assumptions!$J31*#REF!,IF($C$8=Assumptions!$K$30,Assumptions!F31*Assumptions!$K31*#REF!,Assumptions!F31*Assumptions!$L31*#REF!)))</f>
        <v>#REF!</v>
      </c>
      <c r="E181" s="16" t="e">
        <f>IF($C$8=Assumptions!$I$30,Assumptions!$G31*Assumptions!$I31*#REF!,IF($C$8=Assumptions!$J$30,Assumptions!$G31*Assumptions!$J31*#REF!,IF($C$8=Assumptions!$K$30,Assumptions!$G31*Assumptions!$K31*#REF!,Assumptions!$G31*Assumptions!$L31*#REF!)))</f>
        <v>#REF!</v>
      </c>
      <c r="F181" s="16" t="e">
        <f>IF($C$8=Assumptions!$I$30,Assumptions!$G31*Assumptions!$I31*#REF!,IF($C$8=Assumptions!$J$30,Assumptions!$G31*Assumptions!$J31*#REF!,IF($C$8=Assumptions!$K$30,Assumptions!$G31*Assumptions!$K31*#REF!,Assumptions!$G31*Assumptions!$L31*#REF!)))</f>
        <v>#REF!</v>
      </c>
      <c r="G181" s="16" t="e">
        <f>IF($C$8=Assumptions!$I$30,Assumptions!$G31*Assumptions!$I31*#REF!,IF($C$8=Assumptions!$J$30,Assumptions!$G31*Assumptions!$J31*#REF!,IF($C$8=Assumptions!$K$30,Assumptions!$G31*Assumptions!$K31*#REF!,Assumptions!$G31*Assumptions!$L31*#REF!)))</f>
        <v>#REF!</v>
      </c>
      <c r="H181" s="16" t="e">
        <f>IF($C$8=Assumptions!$I$30,Assumptions!$G31*Assumptions!$I31*#REF!,IF($C$8=Assumptions!$J$30,Assumptions!$G31*Assumptions!$J31*#REF!,IF($C$8=Assumptions!$K$30,Assumptions!$G31*Assumptions!$K31*#REF!,Assumptions!$G31*Assumptions!$L31*#REF!)))</f>
        <v>#REF!</v>
      </c>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row>
    <row r="182" spans="1:70" s="6" customFormat="1" x14ac:dyDescent="0.35">
      <c r="A182" s="6">
        <f t="shared" ref="A182:A230" ca="1" si="7">A181+1</f>
        <v>2027</v>
      </c>
      <c r="C182" s="16" t="e">
        <f>IF($C$8=Assumptions!$I$30,Assumptions!E32*Assumptions!$I32*#REF!,IF($C$8=Assumptions!$J$30,Assumptions!E32*Assumptions!$J32*#REF!,IF($C$8=Assumptions!$K$30,Assumptions!E32*Assumptions!$K32*#REF!,Assumptions!E32*Assumptions!$L32*#REF!)))</f>
        <v>#REF!</v>
      </c>
      <c r="D182" s="16" t="e">
        <f>IF($C$8=Assumptions!$I$30,Assumptions!F32*Assumptions!$I32*#REF!,IF($C$8=Assumptions!$J$30,Assumptions!F32*Assumptions!$J32*#REF!,IF($C$8=Assumptions!$K$30,Assumptions!F32*Assumptions!$K32*#REF!,Assumptions!F32*Assumptions!$L32*#REF!)))</f>
        <v>#REF!</v>
      </c>
      <c r="E182" s="16" t="e">
        <f>IF($C$8=Assumptions!$I$30,Assumptions!$G32*Assumptions!$I32*#REF!,IF($C$8=Assumptions!$J$30,Assumptions!$G32*Assumptions!$J32*#REF!,IF($C$8=Assumptions!$K$30,Assumptions!$G32*Assumptions!$K32*#REF!,Assumptions!$G32*Assumptions!$L32*#REF!)))</f>
        <v>#REF!</v>
      </c>
      <c r="F182" s="16" t="e">
        <f>IF($C$8=Assumptions!$I$30,Assumptions!$G32*Assumptions!$I32*#REF!,IF($C$8=Assumptions!$J$30,Assumptions!$G32*Assumptions!$J32*#REF!,IF($C$8=Assumptions!$K$30,Assumptions!$G32*Assumptions!$K32*#REF!,Assumptions!$G32*Assumptions!$L32*#REF!)))</f>
        <v>#REF!</v>
      </c>
      <c r="G182" s="16" t="e">
        <f>IF($C$8=Assumptions!$I$30,Assumptions!$G32*Assumptions!$I32*#REF!,IF($C$8=Assumptions!$J$30,Assumptions!$G32*Assumptions!$J32*#REF!,IF($C$8=Assumptions!$K$30,Assumptions!$G32*Assumptions!$K32*#REF!,Assumptions!$G32*Assumptions!$L32*#REF!)))</f>
        <v>#REF!</v>
      </c>
      <c r="H182" s="16" t="e">
        <f>IF($C$8=Assumptions!$I$30,Assumptions!$G32*Assumptions!$I32*#REF!,IF($C$8=Assumptions!$J$30,Assumptions!$G32*Assumptions!$J32*#REF!,IF($C$8=Assumptions!$K$30,Assumptions!$G32*Assumptions!$K32*#REF!,Assumptions!$G32*Assumptions!$L32*#REF!)))</f>
        <v>#REF!</v>
      </c>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row>
    <row r="183" spans="1:70" s="6" customFormat="1" x14ac:dyDescent="0.35">
      <c r="A183" s="6">
        <f t="shared" ca="1" si="7"/>
        <v>2028</v>
      </c>
      <c r="C183" s="16" t="e">
        <f>IF($C$8=Assumptions!$I$30,Assumptions!E33*Assumptions!$I33*#REF!,IF($C$8=Assumptions!$J$30,Assumptions!E33*Assumptions!$J33*#REF!,IF($C$8=Assumptions!$K$30,Assumptions!E33*Assumptions!$K33*#REF!,Assumptions!E33*Assumptions!$L33*#REF!)))</f>
        <v>#REF!</v>
      </c>
      <c r="D183" s="16" t="e">
        <f>IF($C$8=Assumptions!$I$30,Assumptions!F33*Assumptions!$I33*#REF!,IF($C$8=Assumptions!$J$30,Assumptions!F33*Assumptions!$J33*#REF!,IF($C$8=Assumptions!$K$30,Assumptions!F33*Assumptions!$K33*#REF!,Assumptions!F33*Assumptions!$L33*#REF!)))</f>
        <v>#REF!</v>
      </c>
      <c r="E183" s="16" t="e">
        <f>IF($C$8=Assumptions!$I$30,Assumptions!$G33*Assumptions!$I33*#REF!,IF($C$8=Assumptions!$J$30,Assumptions!$G33*Assumptions!$J33*#REF!,IF($C$8=Assumptions!$K$30,Assumptions!$G33*Assumptions!$K33*#REF!,Assumptions!$G33*Assumptions!$L33*#REF!)))</f>
        <v>#REF!</v>
      </c>
      <c r="F183" s="16" t="e">
        <f>IF($C$8=Assumptions!$I$30,Assumptions!$G33*Assumptions!$I33*#REF!,IF($C$8=Assumptions!$J$30,Assumptions!$G33*Assumptions!$J33*#REF!,IF($C$8=Assumptions!$K$30,Assumptions!$G33*Assumptions!$K33*#REF!,Assumptions!$G33*Assumptions!$L33*#REF!)))</f>
        <v>#REF!</v>
      </c>
      <c r="G183" s="16" t="e">
        <f>IF($C$8=Assumptions!$I$30,Assumptions!$G33*Assumptions!$I33*#REF!,IF($C$8=Assumptions!$J$30,Assumptions!$G33*Assumptions!$J33*#REF!,IF($C$8=Assumptions!$K$30,Assumptions!$G33*Assumptions!$K33*#REF!,Assumptions!$G33*Assumptions!$L33*#REF!)))</f>
        <v>#REF!</v>
      </c>
      <c r="H183" s="16" t="e">
        <f>IF($C$8=Assumptions!$I$30,Assumptions!$G33*Assumptions!$I33*#REF!,IF($C$8=Assumptions!$J$30,Assumptions!$G33*Assumptions!$J33*#REF!,IF($C$8=Assumptions!$K$30,Assumptions!$G33*Assumptions!$K33*#REF!,Assumptions!$G33*Assumptions!$L33*#REF!)))</f>
        <v>#REF!</v>
      </c>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row>
    <row r="184" spans="1:70" s="6" customFormat="1" x14ac:dyDescent="0.35">
      <c r="A184" s="6">
        <f t="shared" ca="1" si="7"/>
        <v>2029</v>
      </c>
      <c r="C184" s="16" t="e">
        <f>IF($C$8=Assumptions!$I$30,Assumptions!E34*Assumptions!$I34*#REF!,IF($C$8=Assumptions!$J$30,Assumptions!E34*Assumptions!$J34*#REF!,IF($C$8=Assumptions!$K$30,Assumptions!E34*Assumptions!$K34*#REF!,Assumptions!E34*Assumptions!$L34*#REF!)))</f>
        <v>#REF!</v>
      </c>
      <c r="D184" s="16" t="e">
        <f>IF($C$8=Assumptions!$I$30,Assumptions!F34*Assumptions!$I34*#REF!,IF($C$8=Assumptions!$J$30,Assumptions!F34*Assumptions!$J34*#REF!,IF($C$8=Assumptions!$K$30,Assumptions!F34*Assumptions!$K34*#REF!,Assumptions!F34*Assumptions!$L34*#REF!)))</f>
        <v>#REF!</v>
      </c>
      <c r="E184" s="16" t="e">
        <f>IF($C$8=Assumptions!$I$30,Assumptions!$G34*Assumptions!$I34*#REF!,IF($C$8=Assumptions!$J$30,Assumptions!$G34*Assumptions!$J34*#REF!,IF($C$8=Assumptions!$K$30,Assumptions!$G34*Assumptions!$K34*#REF!,Assumptions!$G34*Assumptions!$L34*#REF!)))</f>
        <v>#REF!</v>
      </c>
      <c r="F184" s="16" t="e">
        <f>IF($C$8=Assumptions!$I$30,Assumptions!$G34*Assumptions!$I34*#REF!,IF($C$8=Assumptions!$J$30,Assumptions!$G34*Assumptions!$J34*#REF!,IF($C$8=Assumptions!$K$30,Assumptions!$G34*Assumptions!$K34*#REF!,Assumptions!$G34*Assumptions!$L34*#REF!)))</f>
        <v>#REF!</v>
      </c>
      <c r="G184" s="16" t="e">
        <f>IF($C$8=Assumptions!$I$30,Assumptions!$G34*Assumptions!$I34*#REF!,IF($C$8=Assumptions!$J$30,Assumptions!$G34*Assumptions!$J34*#REF!,IF($C$8=Assumptions!$K$30,Assumptions!$G34*Assumptions!$K34*#REF!,Assumptions!$G34*Assumptions!$L34*#REF!)))</f>
        <v>#REF!</v>
      </c>
      <c r="H184" s="16" t="e">
        <f>IF($C$8=Assumptions!$I$30,Assumptions!$G34*Assumptions!$I34*#REF!,IF($C$8=Assumptions!$J$30,Assumptions!$G34*Assumptions!$J34*#REF!,IF($C$8=Assumptions!$K$30,Assumptions!$G34*Assumptions!$K34*#REF!,Assumptions!$G34*Assumptions!$L34*#REF!)))</f>
        <v>#REF!</v>
      </c>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row>
    <row r="185" spans="1:70" s="6" customFormat="1" x14ac:dyDescent="0.35">
      <c r="A185" s="6">
        <f t="shared" ca="1" si="7"/>
        <v>2030</v>
      </c>
      <c r="C185" s="16" t="e">
        <f>IF($C$8=Assumptions!$I$30,Assumptions!E35*Assumptions!$I35*#REF!,IF($C$8=Assumptions!$J$30,Assumptions!E35*Assumptions!$J35*#REF!,IF($C$8=Assumptions!$K$30,Assumptions!E35*Assumptions!$K35*#REF!,Assumptions!E35*Assumptions!$L35*#REF!)))</f>
        <v>#REF!</v>
      </c>
      <c r="D185" s="16" t="e">
        <f>IF($C$8=Assumptions!$I$30,Assumptions!F35*Assumptions!$I35*#REF!,IF($C$8=Assumptions!$J$30,Assumptions!F35*Assumptions!$J35*#REF!,IF($C$8=Assumptions!$K$30,Assumptions!F35*Assumptions!$K35*#REF!,Assumptions!F35*Assumptions!$L35*#REF!)))</f>
        <v>#REF!</v>
      </c>
      <c r="E185" s="16" t="e">
        <f>IF($C$8=Assumptions!$I$30,Assumptions!$G35*Assumptions!$I35*#REF!,IF($C$8=Assumptions!$J$30,Assumptions!$G35*Assumptions!$J35*#REF!,IF($C$8=Assumptions!$K$30,Assumptions!$G35*Assumptions!$K35*#REF!,Assumptions!$G35*Assumptions!$L35*#REF!)))</f>
        <v>#REF!</v>
      </c>
      <c r="F185" s="16" t="e">
        <f>IF($C$8=Assumptions!$I$30,Assumptions!$G35*Assumptions!$I35*#REF!,IF($C$8=Assumptions!$J$30,Assumptions!$G35*Assumptions!$J35*#REF!,IF($C$8=Assumptions!$K$30,Assumptions!$G35*Assumptions!$K35*#REF!,Assumptions!$G35*Assumptions!$L35*#REF!)))</f>
        <v>#REF!</v>
      </c>
      <c r="G185" s="16" t="e">
        <f>IF($C$8=Assumptions!$I$30,Assumptions!$G35*Assumptions!$I35*#REF!,IF($C$8=Assumptions!$J$30,Assumptions!$G35*Assumptions!$J35*#REF!,IF($C$8=Assumptions!$K$30,Assumptions!$G35*Assumptions!$K35*#REF!,Assumptions!$G35*Assumptions!$L35*#REF!)))</f>
        <v>#REF!</v>
      </c>
      <c r="H185" s="16" t="e">
        <f>IF($C$8=Assumptions!$I$30,Assumptions!$G35*Assumptions!$I35*#REF!,IF($C$8=Assumptions!$J$30,Assumptions!$G35*Assumptions!$J35*#REF!,IF($C$8=Assumptions!$K$30,Assumptions!$G35*Assumptions!$K35*#REF!,Assumptions!$G35*Assumptions!$L35*#REF!)))</f>
        <v>#REF!</v>
      </c>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row>
    <row r="186" spans="1:70" s="6" customFormat="1" x14ac:dyDescent="0.35">
      <c r="A186" s="6">
        <f t="shared" ca="1" si="7"/>
        <v>2031</v>
      </c>
      <c r="C186" s="16" t="e">
        <f>IF($C$8=Assumptions!$I$30,Assumptions!E36*Assumptions!$I36*#REF!,IF($C$8=Assumptions!$J$30,Assumptions!E36*Assumptions!$J36*#REF!,IF($C$8=Assumptions!$K$30,Assumptions!E36*Assumptions!$K36*#REF!,Assumptions!E36*Assumptions!$L36*#REF!)))</f>
        <v>#REF!</v>
      </c>
      <c r="D186" s="16" t="e">
        <f>IF($C$8=Assumptions!$I$30,Assumptions!F36*Assumptions!$I36*#REF!,IF($C$8=Assumptions!$J$30,Assumptions!F36*Assumptions!$J36*#REF!,IF($C$8=Assumptions!$K$30,Assumptions!F36*Assumptions!$K36*#REF!,Assumptions!F36*Assumptions!$L36*#REF!)))</f>
        <v>#REF!</v>
      </c>
      <c r="E186" s="16" t="e">
        <f>IF($C$8=Assumptions!$I$30,Assumptions!$G36*Assumptions!$I36*#REF!,IF($C$8=Assumptions!$J$30,Assumptions!$G36*Assumptions!$J36*#REF!,IF($C$8=Assumptions!$K$30,Assumptions!$G36*Assumptions!$K36*#REF!,Assumptions!$G36*Assumptions!$L36*#REF!)))</f>
        <v>#REF!</v>
      </c>
      <c r="F186" s="16" t="e">
        <f>IF($C$8=Assumptions!$I$30,Assumptions!$G36*Assumptions!$I36*#REF!,IF($C$8=Assumptions!$J$30,Assumptions!$G36*Assumptions!$J36*#REF!,IF($C$8=Assumptions!$K$30,Assumptions!$G36*Assumptions!$K36*#REF!,Assumptions!$G36*Assumptions!$L36*#REF!)))</f>
        <v>#REF!</v>
      </c>
      <c r="G186" s="16" t="e">
        <f>IF($C$8=Assumptions!$I$30,Assumptions!$G36*Assumptions!$I36*#REF!,IF($C$8=Assumptions!$J$30,Assumptions!$G36*Assumptions!$J36*#REF!,IF($C$8=Assumptions!$K$30,Assumptions!$G36*Assumptions!$K36*#REF!,Assumptions!$G36*Assumptions!$L36*#REF!)))</f>
        <v>#REF!</v>
      </c>
      <c r="H186" s="16" t="e">
        <f>IF($C$8=Assumptions!$I$30,Assumptions!$G36*Assumptions!$I36*#REF!,IF($C$8=Assumptions!$J$30,Assumptions!$G36*Assumptions!$J36*#REF!,IF($C$8=Assumptions!$K$30,Assumptions!$G36*Assumptions!$K36*#REF!,Assumptions!$G36*Assumptions!$L36*#REF!)))</f>
        <v>#REF!</v>
      </c>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row>
    <row r="187" spans="1:70" s="6" customFormat="1" x14ac:dyDescent="0.35">
      <c r="A187" s="6">
        <f t="shared" ca="1" si="7"/>
        <v>2032</v>
      </c>
      <c r="C187" s="16" t="e">
        <f>IF($C$8=Assumptions!$I$30,Assumptions!E37*Assumptions!$I37*#REF!,IF($C$8=Assumptions!$J$30,Assumptions!E37*Assumptions!$J37*#REF!,IF($C$8=Assumptions!$K$30,Assumptions!E37*Assumptions!$K37*#REF!,Assumptions!E37*Assumptions!$L37*#REF!)))</f>
        <v>#REF!</v>
      </c>
      <c r="D187" s="16" t="e">
        <f>IF($C$8=Assumptions!$I$30,Assumptions!F37*Assumptions!$I37*#REF!,IF($C$8=Assumptions!$J$30,Assumptions!F37*Assumptions!$J37*#REF!,IF($C$8=Assumptions!$K$30,Assumptions!F37*Assumptions!$K37*#REF!,Assumptions!F37*Assumptions!$L37*#REF!)))</f>
        <v>#REF!</v>
      </c>
      <c r="E187" s="16" t="e">
        <f>IF($C$8=Assumptions!$I$30,Assumptions!$G37*Assumptions!$I37*#REF!,IF($C$8=Assumptions!$J$30,Assumptions!$G37*Assumptions!$J37*#REF!,IF($C$8=Assumptions!$K$30,Assumptions!$G37*Assumptions!$K37*#REF!,Assumptions!$G37*Assumptions!$L37*#REF!)))</f>
        <v>#REF!</v>
      </c>
      <c r="F187" s="16" t="e">
        <f>IF($C$8=Assumptions!$I$30,Assumptions!$G37*Assumptions!$I37*#REF!,IF($C$8=Assumptions!$J$30,Assumptions!$G37*Assumptions!$J37*#REF!,IF($C$8=Assumptions!$K$30,Assumptions!$G37*Assumptions!$K37*#REF!,Assumptions!$G37*Assumptions!$L37*#REF!)))</f>
        <v>#REF!</v>
      </c>
      <c r="G187" s="16" t="e">
        <f>IF($C$8=Assumptions!$I$30,Assumptions!$G37*Assumptions!$I37*#REF!,IF($C$8=Assumptions!$J$30,Assumptions!$G37*Assumptions!$J37*#REF!,IF($C$8=Assumptions!$K$30,Assumptions!$G37*Assumptions!$K37*#REF!,Assumptions!$G37*Assumptions!$L37*#REF!)))</f>
        <v>#REF!</v>
      </c>
      <c r="H187" s="16" t="e">
        <f>IF($C$8=Assumptions!$I$30,Assumptions!$G37*Assumptions!$I37*#REF!,IF($C$8=Assumptions!$J$30,Assumptions!$G37*Assumptions!$J37*#REF!,IF($C$8=Assumptions!$K$30,Assumptions!$G37*Assumptions!$K37*#REF!,Assumptions!$G37*Assumptions!$L37*#REF!)))</f>
        <v>#REF!</v>
      </c>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row>
    <row r="188" spans="1:70" s="6" customFormat="1" x14ac:dyDescent="0.35">
      <c r="A188" s="6">
        <f t="shared" ca="1" si="7"/>
        <v>2033</v>
      </c>
      <c r="C188" s="16" t="e">
        <f>IF($C$8=Assumptions!$I$30,Assumptions!E38*Assumptions!$I38*#REF!,IF($C$8=Assumptions!$J$30,Assumptions!E38*Assumptions!$J38*#REF!,IF($C$8=Assumptions!$K$30,Assumptions!E38*Assumptions!$K38*#REF!,Assumptions!E38*Assumptions!$L38*#REF!)))</f>
        <v>#REF!</v>
      </c>
      <c r="D188" s="16" t="e">
        <f>IF($C$8=Assumptions!$I$30,Assumptions!F38*Assumptions!$I38*#REF!,IF($C$8=Assumptions!$J$30,Assumptions!F38*Assumptions!$J38*#REF!,IF($C$8=Assumptions!$K$30,Assumptions!F38*Assumptions!$K38*#REF!,Assumptions!F38*Assumptions!$L38*#REF!)))</f>
        <v>#REF!</v>
      </c>
      <c r="E188" s="16" t="e">
        <f>IF($C$8=Assumptions!$I$30,Assumptions!$G38*Assumptions!$I38*#REF!,IF($C$8=Assumptions!$J$30,Assumptions!$G38*Assumptions!$J38*#REF!,IF($C$8=Assumptions!$K$30,Assumptions!$G38*Assumptions!$K38*#REF!,Assumptions!$G38*Assumptions!$L38*#REF!)))</f>
        <v>#REF!</v>
      </c>
      <c r="F188" s="16" t="e">
        <f>IF($C$8=Assumptions!$I$30,Assumptions!$G38*Assumptions!$I38*#REF!,IF($C$8=Assumptions!$J$30,Assumptions!$G38*Assumptions!$J38*#REF!,IF($C$8=Assumptions!$K$30,Assumptions!$G38*Assumptions!$K38*#REF!,Assumptions!$G38*Assumptions!$L38*#REF!)))</f>
        <v>#REF!</v>
      </c>
      <c r="G188" s="16" t="e">
        <f>IF($C$8=Assumptions!$I$30,Assumptions!$G38*Assumptions!$I38*#REF!,IF($C$8=Assumptions!$J$30,Assumptions!$G38*Assumptions!$J38*#REF!,IF($C$8=Assumptions!$K$30,Assumptions!$G38*Assumptions!$K38*#REF!,Assumptions!$G38*Assumptions!$L38*#REF!)))</f>
        <v>#REF!</v>
      </c>
      <c r="H188" s="16" t="e">
        <f>IF($C$8=Assumptions!$I$30,Assumptions!$G38*Assumptions!$I38*#REF!,IF($C$8=Assumptions!$J$30,Assumptions!$G38*Assumptions!$J38*#REF!,IF($C$8=Assumptions!$K$30,Assumptions!$G38*Assumptions!$K38*#REF!,Assumptions!$G38*Assumptions!$L38*#REF!)))</f>
        <v>#REF!</v>
      </c>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row>
    <row r="189" spans="1:70" s="6" customFormat="1" x14ac:dyDescent="0.35">
      <c r="A189" s="6">
        <f t="shared" ca="1" si="7"/>
        <v>2034</v>
      </c>
      <c r="C189" s="16" t="e">
        <f>IF($C$8=Assumptions!$I$30,Assumptions!E39*Assumptions!$I39*#REF!,IF($C$8=Assumptions!$J$30,Assumptions!E39*Assumptions!$J39*#REF!,IF($C$8=Assumptions!$K$30,Assumptions!E39*Assumptions!$K39*#REF!,Assumptions!E39*Assumptions!$L39*#REF!)))</f>
        <v>#REF!</v>
      </c>
      <c r="D189" s="16" t="e">
        <f>IF($C$8=Assumptions!$I$30,Assumptions!F39*Assumptions!$I39*#REF!,IF($C$8=Assumptions!$J$30,Assumptions!F39*Assumptions!$J39*#REF!,IF($C$8=Assumptions!$K$30,Assumptions!F39*Assumptions!$K39*#REF!,Assumptions!F39*Assumptions!$L39*#REF!)))</f>
        <v>#REF!</v>
      </c>
      <c r="E189" s="16" t="e">
        <f>IF($C$8=Assumptions!$I$30,Assumptions!$G39*Assumptions!$I39*#REF!,IF($C$8=Assumptions!$J$30,Assumptions!$G39*Assumptions!$J39*#REF!,IF($C$8=Assumptions!$K$30,Assumptions!$G39*Assumptions!$K39*#REF!,Assumptions!$G39*Assumptions!$L39*#REF!)))</f>
        <v>#REF!</v>
      </c>
      <c r="F189" s="16" t="e">
        <f>IF($C$8=Assumptions!$I$30,Assumptions!$G39*Assumptions!$I39*#REF!,IF($C$8=Assumptions!$J$30,Assumptions!$G39*Assumptions!$J39*#REF!,IF($C$8=Assumptions!$K$30,Assumptions!$G39*Assumptions!$K39*#REF!,Assumptions!$G39*Assumptions!$L39*#REF!)))</f>
        <v>#REF!</v>
      </c>
      <c r="G189" s="16" t="e">
        <f>IF($C$8=Assumptions!$I$30,Assumptions!$G39*Assumptions!$I39*#REF!,IF($C$8=Assumptions!$J$30,Assumptions!$G39*Assumptions!$J39*#REF!,IF($C$8=Assumptions!$K$30,Assumptions!$G39*Assumptions!$K39*#REF!,Assumptions!$G39*Assumptions!$L39*#REF!)))</f>
        <v>#REF!</v>
      </c>
      <c r="H189" s="16" t="e">
        <f>IF($C$8=Assumptions!$I$30,Assumptions!$G39*Assumptions!$I39*#REF!,IF($C$8=Assumptions!$J$30,Assumptions!$G39*Assumptions!$J39*#REF!,IF($C$8=Assumptions!$K$30,Assumptions!$G39*Assumptions!$K39*#REF!,Assumptions!$G39*Assumptions!$L39*#REF!)))</f>
        <v>#REF!</v>
      </c>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row>
    <row r="190" spans="1:70" s="6" customFormat="1" x14ac:dyDescent="0.35">
      <c r="A190" s="6">
        <f t="shared" ca="1" si="7"/>
        <v>2035</v>
      </c>
      <c r="C190" s="16" t="e">
        <f>IF($C$8=Assumptions!$I$30,Assumptions!E40*Assumptions!$I40*#REF!,IF($C$8=Assumptions!$J$30,Assumptions!E40*Assumptions!$J40*#REF!,IF($C$8=Assumptions!$K$30,Assumptions!E40*Assumptions!$K40*#REF!,Assumptions!E40*Assumptions!$L40*#REF!)))</f>
        <v>#REF!</v>
      </c>
      <c r="D190" s="16" t="e">
        <f>IF($C$8=Assumptions!$I$30,Assumptions!F40*Assumptions!$I40*#REF!,IF($C$8=Assumptions!$J$30,Assumptions!F40*Assumptions!$J40*#REF!,IF($C$8=Assumptions!$K$30,Assumptions!F40*Assumptions!$K40*#REF!,Assumptions!F40*Assumptions!$L40*#REF!)))</f>
        <v>#REF!</v>
      </c>
      <c r="E190" s="16" t="e">
        <f>IF($C$8=Assumptions!$I$30,Assumptions!$G40*Assumptions!$I40*#REF!,IF($C$8=Assumptions!$J$30,Assumptions!$G40*Assumptions!$J40*#REF!,IF($C$8=Assumptions!$K$30,Assumptions!$G40*Assumptions!$K40*#REF!,Assumptions!$G40*Assumptions!$L40*#REF!)))</f>
        <v>#REF!</v>
      </c>
      <c r="F190" s="16" t="e">
        <f>IF($C$8=Assumptions!$I$30,Assumptions!$G40*Assumptions!$I40*#REF!,IF($C$8=Assumptions!$J$30,Assumptions!$G40*Assumptions!$J40*#REF!,IF($C$8=Assumptions!$K$30,Assumptions!$G40*Assumptions!$K40*#REF!,Assumptions!$G40*Assumptions!$L40*#REF!)))</f>
        <v>#REF!</v>
      </c>
      <c r="G190" s="16" t="e">
        <f>IF($C$8=Assumptions!$I$30,Assumptions!$G40*Assumptions!$I40*#REF!,IF($C$8=Assumptions!$J$30,Assumptions!$G40*Assumptions!$J40*#REF!,IF($C$8=Assumptions!$K$30,Assumptions!$G40*Assumptions!$K40*#REF!,Assumptions!$G40*Assumptions!$L40*#REF!)))</f>
        <v>#REF!</v>
      </c>
      <c r="H190" s="16" t="e">
        <f>IF($C$8=Assumptions!$I$30,Assumptions!$G40*Assumptions!$I40*#REF!,IF($C$8=Assumptions!$J$30,Assumptions!$G40*Assumptions!$J40*#REF!,IF($C$8=Assumptions!$K$30,Assumptions!$G40*Assumptions!$K40*#REF!,Assumptions!$G40*Assumptions!$L40*#REF!)))</f>
        <v>#REF!</v>
      </c>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row>
    <row r="191" spans="1:70" s="6" customFormat="1" x14ac:dyDescent="0.35">
      <c r="A191" s="6">
        <f t="shared" ca="1" si="7"/>
        <v>2036</v>
      </c>
      <c r="C191" s="16" t="e">
        <f>IF($C$8=Assumptions!$I$30,Assumptions!E41*Assumptions!$I41*#REF!,IF($C$8=Assumptions!$J$30,Assumptions!E41*Assumptions!$J41*#REF!,IF($C$8=Assumptions!$K$30,Assumptions!E41*Assumptions!$K41*#REF!,Assumptions!E41*Assumptions!$L41*#REF!)))</f>
        <v>#REF!</v>
      </c>
      <c r="D191" s="16" t="e">
        <f>IF($C$8=Assumptions!$I$30,Assumptions!F41*Assumptions!$I41*#REF!,IF($C$8=Assumptions!$J$30,Assumptions!F41*Assumptions!$J41*#REF!,IF($C$8=Assumptions!$K$30,Assumptions!F41*Assumptions!$K41*#REF!,Assumptions!F41*Assumptions!$L41*#REF!)))</f>
        <v>#REF!</v>
      </c>
      <c r="E191" s="16" t="e">
        <f>IF($C$8=Assumptions!$I$30,Assumptions!$G41*Assumptions!$I41*#REF!,IF($C$8=Assumptions!$J$30,Assumptions!$G41*Assumptions!$J41*#REF!,IF($C$8=Assumptions!$K$30,Assumptions!$G41*Assumptions!$K41*#REF!,Assumptions!$G41*Assumptions!$L41*#REF!)))</f>
        <v>#REF!</v>
      </c>
      <c r="F191" s="16" t="e">
        <f>IF($C$8=Assumptions!$I$30,Assumptions!$G41*Assumptions!$I41*#REF!,IF($C$8=Assumptions!$J$30,Assumptions!$G41*Assumptions!$J41*#REF!,IF($C$8=Assumptions!$K$30,Assumptions!$G41*Assumptions!$K41*#REF!,Assumptions!$G41*Assumptions!$L41*#REF!)))</f>
        <v>#REF!</v>
      </c>
      <c r="G191" s="16" t="e">
        <f>IF($C$8=Assumptions!$I$30,Assumptions!$G41*Assumptions!$I41*#REF!,IF($C$8=Assumptions!$J$30,Assumptions!$G41*Assumptions!$J41*#REF!,IF($C$8=Assumptions!$K$30,Assumptions!$G41*Assumptions!$K41*#REF!,Assumptions!$G41*Assumptions!$L41*#REF!)))</f>
        <v>#REF!</v>
      </c>
      <c r="H191" s="16" t="e">
        <f>IF($C$8=Assumptions!$I$30,Assumptions!$G41*Assumptions!$I41*#REF!,IF($C$8=Assumptions!$J$30,Assumptions!$G41*Assumptions!$J41*#REF!,IF($C$8=Assumptions!$K$30,Assumptions!$G41*Assumptions!$K41*#REF!,Assumptions!$G41*Assumptions!$L41*#REF!)))</f>
        <v>#REF!</v>
      </c>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row>
    <row r="192" spans="1:70" s="6" customFormat="1" x14ac:dyDescent="0.35">
      <c r="A192" s="6">
        <f t="shared" ca="1" si="7"/>
        <v>2037</v>
      </c>
      <c r="C192" s="16" t="e">
        <f>IF($C$8=Assumptions!$I$30,Assumptions!E42*Assumptions!$I42*#REF!,IF($C$8=Assumptions!$J$30,Assumptions!E42*Assumptions!$J42*#REF!,IF($C$8=Assumptions!$K$30,Assumptions!E42*Assumptions!$K42*#REF!,Assumptions!E42*Assumptions!$L42*#REF!)))</f>
        <v>#REF!</v>
      </c>
      <c r="D192" s="16" t="e">
        <f>IF($C$8=Assumptions!$I$30,Assumptions!F42*Assumptions!$I42*#REF!,IF($C$8=Assumptions!$J$30,Assumptions!F42*Assumptions!$J42*#REF!,IF($C$8=Assumptions!$K$30,Assumptions!F42*Assumptions!$K42*#REF!,Assumptions!F42*Assumptions!$L42*#REF!)))</f>
        <v>#REF!</v>
      </c>
      <c r="E192" s="16" t="e">
        <f>IF($C$8=Assumptions!$I$30,Assumptions!$G42*Assumptions!$I42*#REF!,IF($C$8=Assumptions!$J$30,Assumptions!$G42*Assumptions!$J42*#REF!,IF($C$8=Assumptions!$K$30,Assumptions!$G42*Assumptions!$K42*#REF!,Assumptions!$G42*Assumptions!$L42*#REF!)))</f>
        <v>#REF!</v>
      </c>
      <c r="F192" s="16" t="e">
        <f>IF($C$8=Assumptions!$I$30,Assumptions!$G42*Assumptions!$I42*#REF!,IF($C$8=Assumptions!$J$30,Assumptions!$G42*Assumptions!$J42*#REF!,IF($C$8=Assumptions!$K$30,Assumptions!$G42*Assumptions!$K42*#REF!,Assumptions!$G42*Assumptions!$L42*#REF!)))</f>
        <v>#REF!</v>
      </c>
      <c r="G192" s="16" t="e">
        <f>IF($C$8=Assumptions!$I$30,Assumptions!$G42*Assumptions!$I42*#REF!,IF($C$8=Assumptions!$J$30,Assumptions!$G42*Assumptions!$J42*#REF!,IF($C$8=Assumptions!$K$30,Assumptions!$G42*Assumptions!$K42*#REF!,Assumptions!$G42*Assumptions!$L42*#REF!)))</f>
        <v>#REF!</v>
      </c>
      <c r="H192" s="16" t="e">
        <f>IF($C$8=Assumptions!$I$30,Assumptions!$G42*Assumptions!$I42*#REF!,IF($C$8=Assumptions!$J$30,Assumptions!$G42*Assumptions!$J42*#REF!,IF($C$8=Assumptions!$K$30,Assumptions!$G42*Assumptions!$K42*#REF!,Assumptions!$G42*Assumptions!$L42*#REF!)))</f>
        <v>#REF!</v>
      </c>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row>
    <row r="193" spans="1:69" s="6" customFormat="1" x14ac:dyDescent="0.35">
      <c r="A193" s="6">
        <f t="shared" ca="1" si="7"/>
        <v>2038</v>
      </c>
      <c r="C193" s="16" t="e">
        <f>IF($C$8=Assumptions!$I$30,Assumptions!E43*Assumptions!$I43*#REF!,IF($C$8=Assumptions!$J$30,Assumptions!E43*Assumptions!$J43*#REF!,IF($C$8=Assumptions!$K$30,Assumptions!E43*Assumptions!$K43*#REF!,Assumptions!E43*Assumptions!$L43*#REF!)))</f>
        <v>#REF!</v>
      </c>
      <c r="D193" s="16" t="e">
        <f>IF($C$8=Assumptions!$I$30,Assumptions!F43*Assumptions!$I43*#REF!,IF($C$8=Assumptions!$J$30,Assumptions!F43*Assumptions!$J43*#REF!,IF($C$8=Assumptions!$K$30,Assumptions!F43*Assumptions!$K43*#REF!,Assumptions!F43*Assumptions!$L43*#REF!)))</f>
        <v>#REF!</v>
      </c>
      <c r="E193" s="16" t="e">
        <f>IF($C$8=Assumptions!$I$30,Assumptions!$G43*Assumptions!$I43*#REF!,IF($C$8=Assumptions!$J$30,Assumptions!$G43*Assumptions!$J43*#REF!,IF($C$8=Assumptions!$K$30,Assumptions!$G43*Assumptions!$K43*#REF!,Assumptions!$G43*Assumptions!$L43*#REF!)))</f>
        <v>#REF!</v>
      </c>
      <c r="F193" s="16" t="e">
        <f>IF($C$8=Assumptions!$I$30,Assumptions!$G43*Assumptions!$I43*#REF!,IF($C$8=Assumptions!$J$30,Assumptions!$G43*Assumptions!$J43*#REF!,IF($C$8=Assumptions!$K$30,Assumptions!$G43*Assumptions!$K43*#REF!,Assumptions!$G43*Assumptions!$L43*#REF!)))</f>
        <v>#REF!</v>
      </c>
      <c r="G193" s="16" t="e">
        <f>IF($C$8=Assumptions!$I$30,Assumptions!$G43*Assumptions!$I43*#REF!,IF($C$8=Assumptions!$J$30,Assumptions!$G43*Assumptions!$J43*#REF!,IF($C$8=Assumptions!$K$30,Assumptions!$G43*Assumptions!$K43*#REF!,Assumptions!$G43*Assumptions!$L43*#REF!)))</f>
        <v>#REF!</v>
      </c>
      <c r="H193" s="16" t="e">
        <f>IF($C$8=Assumptions!$I$30,Assumptions!$G43*Assumptions!$I43*#REF!,IF($C$8=Assumptions!$J$30,Assumptions!$G43*Assumptions!$J43*#REF!,IF($C$8=Assumptions!$K$30,Assumptions!$G43*Assumptions!$K43*#REF!,Assumptions!$G43*Assumptions!$L43*#REF!)))</f>
        <v>#REF!</v>
      </c>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row>
    <row r="194" spans="1:69" s="6" customFormat="1" x14ac:dyDescent="0.35">
      <c r="A194" s="6">
        <f t="shared" ca="1" si="7"/>
        <v>2039</v>
      </c>
      <c r="C194" s="16" t="e">
        <f>IF($C$8=Assumptions!$I$30,Assumptions!E44*Assumptions!$I44*#REF!,IF($C$8=Assumptions!$J$30,Assumptions!E44*Assumptions!$J44*#REF!,IF($C$8=Assumptions!$K$30,Assumptions!E44*Assumptions!$K44*#REF!,Assumptions!E44*Assumptions!$L44*#REF!)))</f>
        <v>#REF!</v>
      </c>
      <c r="D194" s="16" t="e">
        <f>IF($C$8=Assumptions!$I$30,Assumptions!F44*Assumptions!$I44*#REF!,IF($C$8=Assumptions!$J$30,Assumptions!F44*Assumptions!$J44*#REF!,IF($C$8=Assumptions!$K$30,Assumptions!F44*Assumptions!$K44*#REF!,Assumptions!F44*Assumptions!$L44*#REF!)))</f>
        <v>#REF!</v>
      </c>
      <c r="E194" s="16" t="e">
        <f>IF($C$8=Assumptions!$I$30,Assumptions!$G44*Assumptions!$I44*#REF!,IF($C$8=Assumptions!$J$30,Assumptions!$G44*Assumptions!$J44*#REF!,IF($C$8=Assumptions!$K$30,Assumptions!$G44*Assumptions!$K44*#REF!,Assumptions!$G44*Assumptions!$L44*#REF!)))</f>
        <v>#REF!</v>
      </c>
      <c r="F194" s="16" t="e">
        <f>IF($C$8=Assumptions!$I$30,Assumptions!$G44*Assumptions!$I44*#REF!,IF($C$8=Assumptions!$J$30,Assumptions!$G44*Assumptions!$J44*#REF!,IF($C$8=Assumptions!$K$30,Assumptions!$G44*Assumptions!$K44*#REF!,Assumptions!$G44*Assumptions!$L44*#REF!)))</f>
        <v>#REF!</v>
      </c>
      <c r="G194" s="16" t="e">
        <f>IF($C$8=Assumptions!$I$30,Assumptions!$G44*Assumptions!$I44*#REF!,IF($C$8=Assumptions!$J$30,Assumptions!$G44*Assumptions!$J44*#REF!,IF($C$8=Assumptions!$K$30,Assumptions!$G44*Assumptions!$K44*#REF!,Assumptions!$G44*Assumptions!$L44*#REF!)))</f>
        <v>#REF!</v>
      </c>
      <c r="H194" s="16" t="e">
        <f>IF($C$8=Assumptions!$I$30,Assumptions!$G44*Assumptions!$I44*#REF!,IF($C$8=Assumptions!$J$30,Assumptions!$G44*Assumptions!$J44*#REF!,IF($C$8=Assumptions!$K$30,Assumptions!$G44*Assumptions!$K44*#REF!,Assumptions!$G44*Assumptions!$L44*#REF!)))</f>
        <v>#REF!</v>
      </c>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row>
    <row r="195" spans="1:69" s="6" customFormat="1" x14ac:dyDescent="0.35">
      <c r="A195" s="6">
        <f t="shared" ca="1" si="7"/>
        <v>2040</v>
      </c>
      <c r="C195" s="16" t="e">
        <f>IF($C$8=Assumptions!$I$30,Assumptions!E45*Assumptions!$I45*#REF!,IF($C$8=Assumptions!$J$30,Assumptions!E45*Assumptions!$J45*#REF!,IF($C$8=Assumptions!$K$30,Assumptions!E45*Assumptions!$K45*#REF!,Assumptions!E45*Assumptions!$L45*#REF!)))</f>
        <v>#REF!</v>
      </c>
      <c r="D195" s="16" t="e">
        <f>IF($C$8=Assumptions!$I$30,Assumptions!F45*Assumptions!$I45*#REF!,IF($C$8=Assumptions!$J$30,Assumptions!F45*Assumptions!$J45*#REF!,IF($C$8=Assumptions!$K$30,Assumptions!F45*Assumptions!$K45*#REF!,Assumptions!F45*Assumptions!$L45*#REF!)))</f>
        <v>#REF!</v>
      </c>
      <c r="E195" s="16" t="e">
        <f>IF($C$8=Assumptions!$I$30,Assumptions!$G45*Assumptions!$I45*#REF!,IF($C$8=Assumptions!$J$30,Assumptions!$G45*Assumptions!$J45*#REF!,IF($C$8=Assumptions!$K$30,Assumptions!$G45*Assumptions!$K45*#REF!,Assumptions!$G45*Assumptions!$L45*#REF!)))</f>
        <v>#REF!</v>
      </c>
      <c r="F195" s="16" t="e">
        <f>IF($C$8=Assumptions!$I$30,Assumptions!$G45*Assumptions!$I45*#REF!,IF($C$8=Assumptions!$J$30,Assumptions!$G45*Assumptions!$J45*#REF!,IF($C$8=Assumptions!$K$30,Assumptions!$G45*Assumptions!$K45*#REF!,Assumptions!$G45*Assumptions!$L45*#REF!)))</f>
        <v>#REF!</v>
      </c>
      <c r="G195" s="16" t="e">
        <f>IF($C$8=Assumptions!$I$30,Assumptions!$G45*Assumptions!$I45*#REF!,IF($C$8=Assumptions!$J$30,Assumptions!$G45*Assumptions!$J45*#REF!,IF($C$8=Assumptions!$K$30,Assumptions!$G45*Assumptions!$K45*#REF!,Assumptions!$G45*Assumptions!$L45*#REF!)))</f>
        <v>#REF!</v>
      </c>
      <c r="H195" s="16" t="e">
        <f>IF($C$8=Assumptions!$I$30,Assumptions!$G45*Assumptions!$I45*#REF!,IF($C$8=Assumptions!$J$30,Assumptions!$G45*Assumptions!$J45*#REF!,IF($C$8=Assumptions!$K$30,Assumptions!$G45*Assumptions!$K45*#REF!,Assumptions!$G45*Assumptions!$L45*#REF!)))</f>
        <v>#REF!</v>
      </c>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row>
    <row r="196" spans="1:69" s="6" customFormat="1" x14ac:dyDescent="0.35">
      <c r="A196" s="6">
        <f t="shared" ca="1" si="7"/>
        <v>2041</v>
      </c>
      <c r="C196" s="16" t="e">
        <f>IF($C$8=Assumptions!$I$30,Assumptions!E46*Assumptions!$I46*#REF!,IF($C$8=Assumptions!$J$30,Assumptions!E46*Assumptions!$J46*#REF!,IF($C$8=Assumptions!$K$30,Assumptions!E46*Assumptions!$K46*#REF!,Assumptions!E46*Assumptions!$L46*#REF!)))</f>
        <v>#REF!</v>
      </c>
      <c r="D196" s="16" t="e">
        <f>IF($C$8=Assumptions!$I$30,Assumptions!F46*Assumptions!$I46*#REF!,IF($C$8=Assumptions!$J$30,Assumptions!F46*Assumptions!$J46*#REF!,IF($C$8=Assumptions!$K$30,Assumptions!F46*Assumptions!$K46*#REF!,Assumptions!F46*Assumptions!$L46*#REF!)))</f>
        <v>#REF!</v>
      </c>
      <c r="E196" s="16" t="e">
        <f>IF($C$8=Assumptions!$I$30,Assumptions!$G46*Assumptions!$I46*#REF!,IF($C$8=Assumptions!$J$30,Assumptions!$G46*Assumptions!$J46*#REF!,IF($C$8=Assumptions!$K$30,Assumptions!$G46*Assumptions!$K46*#REF!,Assumptions!$G46*Assumptions!$L46*#REF!)))</f>
        <v>#REF!</v>
      </c>
      <c r="F196" s="16" t="e">
        <f>IF($C$8=Assumptions!$I$30,Assumptions!$G46*Assumptions!$I46*#REF!,IF($C$8=Assumptions!$J$30,Assumptions!$G46*Assumptions!$J46*#REF!,IF($C$8=Assumptions!$K$30,Assumptions!$G46*Assumptions!$K46*#REF!,Assumptions!$G46*Assumptions!$L46*#REF!)))</f>
        <v>#REF!</v>
      </c>
      <c r="G196" s="16" t="e">
        <f>IF($C$8=Assumptions!$I$30,Assumptions!$G46*Assumptions!$I46*#REF!,IF($C$8=Assumptions!$J$30,Assumptions!$G46*Assumptions!$J46*#REF!,IF($C$8=Assumptions!$K$30,Assumptions!$G46*Assumptions!$K46*#REF!,Assumptions!$G46*Assumptions!$L46*#REF!)))</f>
        <v>#REF!</v>
      </c>
      <c r="H196" s="16" t="e">
        <f>IF($C$8=Assumptions!$I$30,Assumptions!$G46*Assumptions!$I46*#REF!,IF($C$8=Assumptions!$J$30,Assumptions!$G46*Assumptions!$J46*#REF!,IF($C$8=Assumptions!$K$30,Assumptions!$G46*Assumptions!$K46*#REF!,Assumptions!$G46*Assumptions!$L46*#REF!)))</f>
        <v>#REF!</v>
      </c>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row>
    <row r="197" spans="1:69" s="6" customFormat="1" x14ac:dyDescent="0.35">
      <c r="A197" s="6">
        <f t="shared" ca="1" si="7"/>
        <v>2042</v>
      </c>
      <c r="C197" s="16" t="e">
        <f>IF($C$8=Assumptions!$I$30,Assumptions!E47*Assumptions!$I47*#REF!,IF($C$8=Assumptions!$J$30,Assumptions!E47*Assumptions!$J47*#REF!,IF($C$8=Assumptions!$K$30,Assumptions!E47*Assumptions!$K47*#REF!,Assumptions!E47*Assumptions!$L47*#REF!)))</f>
        <v>#REF!</v>
      </c>
      <c r="D197" s="16" t="e">
        <f>IF($C$8=Assumptions!$I$30,Assumptions!F47*Assumptions!$I47*#REF!,IF($C$8=Assumptions!$J$30,Assumptions!F47*Assumptions!$J47*#REF!,IF($C$8=Assumptions!$K$30,Assumptions!F47*Assumptions!$K47*#REF!,Assumptions!F47*Assumptions!$L47*#REF!)))</f>
        <v>#REF!</v>
      </c>
      <c r="E197" s="16" t="e">
        <f>IF($C$8=Assumptions!$I$30,Assumptions!$G47*Assumptions!$I47*#REF!,IF($C$8=Assumptions!$J$30,Assumptions!$G47*Assumptions!$J47*#REF!,IF($C$8=Assumptions!$K$30,Assumptions!$G47*Assumptions!$K47*#REF!,Assumptions!$G47*Assumptions!$L47*#REF!)))</f>
        <v>#REF!</v>
      </c>
      <c r="F197" s="16" t="e">
        <f>IF($C$8=Assumptions!$I$30,Assumptions!$G47*Assumptions!$I47*#REF!,IF($C$8=Assumptions!$J$30,Assumptions!$G47*Assumptions!$J47*#REF!,IF($C$8=Assumptions!$K$30,Assumptions!$G47*Assumptions!$K47*#REF!,Assumptions!$G47*Assumptions!$L47*#REF!)))</f>
        <v>#REF!</v>
      </c>
      <c r="G197" s="16" t="e">
        <f>IF($C$8=Assumptions!$I$30,Assumptions!$G47*Assumptions!$I47*#REF!,IF($C$8=Assumptions!$J$30,Assumptions!$G47*Assumptions!$J47*#REF!,IF($C$8=Assumptions!$K$30,Assumptions!$G47*Assumptions!$K47*#REF!,Assumptions!$G47*Assumptions!$L47*#REF!)))</f>
        <v>#REF!</v>
      </c>
      <c r="H197" s="16" t="e">
        <f>IF($C$8=Assumptions!$I$30,Assumptions!$G47*Assumptions!$I47*#REF!,IF($C$8=Assumptions!$J$30,Assumptions!$G47*Assumptions!$J47*#REF!,IF($C$8=Assumptions!$K$30,Assumptions!$G47*Assumptions!$K47*#REF!,Assumptions!$G47*Assumptions!$L47*#REF!)))</f>
        <v>#REF!</v>
      </c>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row>
    <row r="198" spans="1:69" s="6" customFormat="1" x14ac:dyDescent="0.35">
      <c r="A198" s="6">
        <f t="shared" ca="1" si="7"/>
        <v>2043</v>
      </c>
      <c r="C198" s="16" t="e">
        <f>IF($C$8=Assumptions!$I$30,Assumptions!E48*Assumptions!$I48*#REF!,IF($C$8=Assumptions!$J$30,Assumptions!E48*Assumptions!$J48*#REF!,IF($C$8=Assumptions!$K$30,Assumptions!E48*Assumptions!$K48*#REF!,Assumptions!E48*Assumptions!$L48*#REF!)))</f>
        <v>#REF!</v>
      </c>
      <c r="D198" s="16" t="e">
        <f>IF($C$8=Assumptions!$I$30,Assumptions!F48*Assumptions!$I48*#REF!,IF($C$8=Assumptions!$J$30,Assumptions!F48*Assumptions!$J48*#REF!,IF($C$8=Assumptions!$K$30,Assumptions!F48*Assumptions!$K48*#REF!,Assumptions!F48*Assumptions!$L48*#REF!)))</f>
        <v>#REF!</v>
      </c>
      <c r="E198" s="16" t="e">
        <f>IF($C$8=Assumptions!$I$30,Assumptions!$G48*Assumptions!$I48*#REF!,IF($C$8=Assumptions!$J$30,Assumptions!$G48*Assumptions!$J48*#REF!,IF($C$8=Assumptions!$K$30,Assumptions!$G48*Assumptions!$K48*#REF!,Assumptions!$G48*Assumptions!$L48*#REF!)))</f>
        <v>#REF!</v>
      </c>
      <c r="F198" s="16" t="e">
        <f>IF($C$8=Assumptions!$I$30,Assumptions!$G48*Assumptions!$I48*#REF!,IF($C$8=Assumptions!$J$30,Assumptions!$G48*Assumptions!$J48*#REF!,IF($C$8=Assumptions!$K$30,Assumptions!$G48*Assumptions!$K48*#REF!,Assumptions!$G48*Assumptions!$L48*#REF!)))</f>
        <v>#REF!</v>
      </c>
      <c r="G198" s="16" t="e">
        <f>IF($C$8=Assumptions!$I$30,Assumptions!$G48*Assumptions!$I48*#REF!,IF($C$8=Assumptions!$J$30,Assumptions!$G48*Assumptions!$J48*#REF!,IF($C$8=Assumptions!$K$30,Assumptions!$G48*Assumptions!$K48*#REF!,Assumptions!$G48*Assumptions!$L48*#REF!)))</f>
        <v>#REF!</v>
      </c>
      <c r="H198" s="16" t="e">
        <f>IF($C$8=Assumptions!$I$30,Assumptions!$G48*Assumptions!$I48*#REF!,IF($C$8=Assumptions!$J$30,Assumptions!$G48*Assumptions!$J48*#REF!,IF($C$8=Assumptions!$K$30,Assumptions!$G48*Assumptions!$K48*#REF!,Assumptions!$G48*Assumptions!$L48*#REF!)))</f>
        <v>#REF!</v>
      </c>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row>
    <row r="199" spans="1:69" s="6" customFormat="1" x14ac:dyDescent="0.35">
      <c r="A199" s="6">
        <f t="shared" ca="1" si="7"/>
        <v>2044</v>
      </c>
      <c r="C199" s="16" t="e">
        <f>IF($C$8=Assumptions!$I$30,Assumptions!E49*Assumptions!$I49*#REF!,IF($C$8=Assumptions!$J$30,Assumptions!E49*Assumptions!$J49*#REF!,IF($C$8=Assumptions!$K$30,Assumptions!E49*Assumptions!$K49*#REF!,Assumptions!E49*Assumptions!$L49*#REF!)))</f>
        <v>#REF!</v>
      </c>
      <c r="D199" s="16" t="e">
        <f>IF($C$8=Assumptions!$I$30,Assumptions!F49*Assumptions!$I49*#REF!,IF($C$8=Assumptions!$J$30,Assumptions!F49*Assumptions!$J49*#REF!,IF($C$8=Assumptions!$K$30,Assumptions!F49*Assumptions!$K49*#REF!,Assumptions!F49*Assumptions!$L49*#REF!)))</f>
        <v>#REF!</v>
      </c>
      <c r="E199" s="16" t="e">
        <f>IF($C$8=Assumptions!$I$30,Assumptions!$G49*Assumptions!$I49*#REF!,IF($C$8=Assumptions!$J$30,Assumptions!$G49*Assumptions!$J49*#REF!,IF($C$8=Assumptions!$K$30,Assumptions!$G49*Assumptions!$K49*#REF!,Assumptions!$G49*Assumptions!$L49*#REF!)))</f>
        <v>#REF!</v>
      </c>
      <c r="F199" s="16" t="e">
        <f>IF($C$8=Assumptions!$I$30,Assumptions!$G49*Assumptions!$I49*#REF!,IF($C$8=Assumptions!$J$30,Assumptions!$G49*Assumptions!$J49*#REF!,IF($C$8=Assumptions!$K$30,Assumptions!$G49*Assumptions!$K49*#REF!,Assumptions!$G49*Assumptions!$L49*#REF!)))</f>
        <v>#REF!</v>
      </c>
      <c r="G199" s="16" t="e">
        <f>IF($C$8=Assumptions!$I$30,Assumptions!$G49*Assumptions!$I49*#REF!,IF($C$8=Assumptions!$J$30,Assumptions!$G49*Assumptions!$J49*#REF!,IF($C$8=Assumptions!$K$30,Assumptions!$G49*Assumptions!$K49*#REF!,Assumptions!$G49*Assumptions!$L49*#REF!)))</f>
        <v>#REF!</v>
      </c>
      <c r="H199" s="16" t="e">
        <f>IF($C$8=Assumptions!$I$30,Assumptions!$G49*Assumptions!$I49*#REF!,IF($C$8=Assumptions!$J$30,Assumptions!$G49*Assumptions!$J49*#REF!,IF($C$8=Assumptions!$K$30,Assumptions!$G49*Assumptions!$K49*#REF!,Assumptions!$G49*Assumptions!$L49*#REF!)))</f>
        <v>#REF!</v>
      </c>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row>
    <row r="200" spans="1:69" s="6" customFormat="1" x14ac:dyDescent="0.35">
      <c r="A200" s="6">
        <f t="shared" ca="1" si="7"/>
        <v>2045</v>
      </c>
      <c r="C200" s="16" t="e">
        <f>IF($C$8=Assumptions!$I$30,Assumptions!E50*Assumptions!$I50*#REF!,IF($C$8=Assumptions!$J$30,Assumptions!E50*Assumptions!$J50*#REF!,IF($C$8=Assumptions!$K$30,Assumptions!E50*Assumptions!$K50*#REF!,Assumptions!E50*Assumptions!$L50*#REF!)))</f>
        <v>#REF!</v>
      </c>
      <c r="D200" s="16" t="e">
        <f>IF($C$8=Assumptions!$I$30,Assumptions!F50*Assumptions!$I50*#REF!,IF($C$8=Assumptions!$J$30,Assumptions!F50*Assumptions!$J50*#REF!,IF($C$8=Assumptions!$K$30,Assumptions!F50*Assumptions!$K50*#REF!,Assumptions!F50*Assumptions!$L50*#REF!)))</f>
        <v>#REF!</v>
      </c>
      <c r="E200" s="16" t="e">
        <f>IF($C$8=Assumptions!$I$30,Assumptions!$G50*Assumptions!$I50*#REF!,IF($C$8=Assumptions!$J$30,Assumptions!$G50*Assumptions!$J50*#REF!,IF($C$8=Assumptions!$K$30,Assumptions!$G50*Assumptions!$K50*#REF!,Assumptions!$G50*Assumptions!$L50*#REF!)))</f>
        <v>#REF!</v>
      </c>
      <c r="F200" s="16" t="e">
        <f>IF($C$8=Assumptions!$I$30,Assumptions!$G50*Assumptions!$I50*#REF!,IF($C$8=Assumptions!$J$30,Assumptions!$G50*Assumptions!$J50*#REF!,IF($C$8=Assumptions!$K$30,Assumptions!$G50*Assumptions!$K50*#REF!,Assumptions!$G50*Assumptions!$L50*#REF!)))</f>
        <v>#REF!</v>
      </c>
      <c r="G200" s="16" t="e">
        <f>IF($C$8=Assumptions!$I$30,Assumptions!$G50*Assumptions!$I50*#REF!,IF($C$8=Assumptions!$J$30,Assumptions!$G50*Assumptions!$J50*#REF!,IF($C$8=Assumptions!$K$30,Assumptions!$G50*Assumptions!$K50*#REF!,Assumptions!$G50*Assumptions!$L50*#REF!)))</f>
        <v>#REF!</v>
      </c>
      <c r="H200" s="16" t="e">
        <f>IF($C$8=Assumptions!$I$30,Assumptions!$G50*Assumptions!$I50*#REF!,IF($C$8=Assumptions!$J$30,Assumptions!$G50*Assumptions!$J50*#REF!,IF($C$8=Assumptions!$K$30,Assumptions!$G50*Assumptions!$K50*#REF!,Assumptions!$G50*Assumptions!$L50*#REF!)))</f>
        <v>#REF!</v>
      </c>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row>
    <row r="201" spans="1:69" s="6" customFormat="1" x14ac:dyDescent="0.35">
      <c r="A201" s="6">
        <f t="shared" ca="1" si="7"/>
        <v>2046</v>
      </c>
      <c r="C201" s="16" t="e">
        <f>IF($C$8=Assumptions!$I$30,Assumptions!E51*Assumptions!$I51*#REF!,IF($C$8=Assumptions!$J$30,Assumptions!E51*Assumptions!$J51*#REF!,IF($C$8=Assumptions!$K$30,Assumptions!E51*Assumptions!$K51*#REF!,Assumptions!E51*Assumptions!$L51*#REF!)))</f>
        <v>#REF!</v>
      </c>
      <c r="D201" s="16" t="e">
        <f>IF($C$8=Assumptions!$I$30,Assumptions!F51*Assumptions!$I51*#REF!,IF($C$8=Assumptions!$J$30,Assumptions!F51*Assumptions!$J51*#REF!,IF($C$8=Assumptions!$K$30,Assumptions!F51*Assumptions!$K51*#REF!,Assumptions!F51*Assumptions!$L51*#REF!)))</f>
        <v>#REF!</v>
      </c>
      <c r="E201" s="16" t="e">
        <f>IF($C$8=Assumptions!$I$30,Assumptions!$G51*Assumptions!$I51*#REF!,IF($C$8=Assumptions!$J$30,Assumptions!$G51*Assumptions!$J51*#REF!,IF($C$8=Assumptions!$K$30,Assumptions!$G51*Assumptions!$K51*#REF!,Assumptions!$G51*Assumptions!$L51*#REF!)))</f>
        <v>#REF!</v>
      </c>
      <c r="F201" s="16" t="e">
        <f>IF($C$8=Assumptions!$I$30,Assumptions!$G51*Assumptions!$I51*#REF!,IF($C$8=Assumptions!$J$30,Assumptions!$G51*Assumptions!$J51*#REF!,IF($C$8=Assumptions!$K$30,Assumptions!$G51*Assumptions!$K51*#REF!,Assumptions!$G51*Assumptions!$L51*#REF!)))</f>
        <v>#REF!</v>
      </c>
      <c r="G201" s="16" t="e">
        <f>IF($C$8=Assumptions!$I$30,Assumptions!$G51*Assumptions!$I51*#REF!,IF($C$8=Assumptions!$J$30,Assumptions!$G51*Assumptions!$J51*#REF!,IF($C$8=Assumptions!$K$30,Assumptions!$G51*Assumptions!$K51*#REF!,Assumptions!$G51*Assumptions!$L51*#REF!)))</f>
        <v>#REF!</v>
      </c>
      <c r="H201" s="16" t="e">
        <f>IF($C$8=Assumptions!$I$30,Assumptions!$G51*Assumptions!$I51*#REF!,IF($C$8=Assumptions!$J$30,Assumptions!$G51*Assumptions!$J51*#REF!,IF($C$8=Assumptions!$K$30,Assumptions!$G51*Assumptions!$K51*#REF!,Assumptions!$G51*Assumptions!$L51*#REF!)))</f>
        <v>#REF!</v>
      </c>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row>
    <row r="202" spans="1:69" s="6" customFormat="1" x14ac:dyDescent="0.35">
      <c r="A202" s="6">
        <f t="shared" ca="1" si="7"/>
        <v>2047</v>
      </c>
      <c r="C202" s="16" t="e">
        <f>IF($C$8=Assumptions!$I$30,Assumptions!E52*Assumptions!$I52*#REF!,IF($C$8=Assumptions!$J$30,Assumptions!E52*Assumptions!$J52*#REF!,IF($C$8=Assumptions!$K$30,Assumptions!E52*Assumptions!$K52*#REF!,Assumptions!E52*Assumptions!$L52*#REF!)))</f>
        <v>#REF!</v>
      </c>
      <c r="D202" s="16" t="e">
        <f>IF($C$8=Assumptions!$I$30,Assumptions!F52*Assumptions!$I52*#REF!,IF($C$8=Assumptions!$J$30,Assumptions!F52*Assumptions!$J52*#REF!,IF($C$8=Assumptions!$K$30,Assumptions!F52*Assumptions!$K52*#REF!,Assumptions!F52*Assumptions!$L52*#REF!)))</f>
        <v>#REF!</v>
      </c>
      <c r="E202" s="16" t="e">
        <f>IF($C$8=Assumptions!$I$30,Assumptions!$G52*Assumptions!$I52*#REF!,IF($C$8=Assumptions!$J$30,Assumptions!$G52*Assumptions!$J52*#REF!,IF($C$8=Assumptions!$K$30,Assumptions!$G52*Assumptions!$K52*#REF!,Assumptions!$G52*Assumptions!$L52*#REF!)))</f>
        <v>#REF!</v>
      </c>
      <c r="F202" s="16" t="e">
        <f>IF($C$8=Assumptions!$I$30,Assumptions!$G52*Assumptions!$I52*#REF!,IF($C$8=Assumptions!$J$30,Assumptions!$G52*Assumptions!$J52*#REF!,IF($C$8=Assumptions!$K$30,Assumptions!$G52*Assumptions!$K52*#REF!,Assumptions!$G52*Assumptions!$L52*#REF!)))</f>
        <v>#REF!</v>
      </c>
      <c r="G202" s="16" t="e">
        <f>IF($C$8=Assumptions!$I$30,Assumptions!$G52*Assumptions!$I52*#REF!,IF($C$8=Assumptions!$J$30,Assumptions!$G52*Assumptions!$J52*#REF!,IF($C$8=Assumptions!$K$30,Assumptions!$G52*Assumptions!$K52*#REF!,Assumptions!$G52*Assumptions!$L52*#REF!)))</f>
        <v>#REF!</v>
      </c>
      <c r="H202" s="16" t="e">
        <f>IF($C$8=Assumptions!$I$30,Assumptions!$G52*Assumptions!$I52*#REF!,IF($C$8=Assumptions!$J$30,Assumptions!$G52*Assumptions!$J52*#REF!,IF($C$8=Assumptions!$K$30,Assumptions!$G52*Assumptions!$K52*#REF!,Assumptions!$G52*Assumptions!$L52*#REF!)))</f>
        <v>#REF!</v>
      </c>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row>
    <row r="203" spans="1:69" s="6" customFormat="1" x14ac:dyDescent="0.35">
      <c r="A203" s="6">
        <f t="shared" ca="1" si="7"/>
        <v>2048</v>
      </c>
      <c r="C203" s="16" t="e">
        <f>IF($C$8=Assumptions!$I$30,Assumptions!E53*Assumptions!$I53*#REF!,IF($C$8=Assumptions!$J$30,Assumptions!E53*Assumptions!$J53*#REF!,IF($C$8=Assumptions!$K$30,Assumptions!E53*Assumptions!$K53*#REF!,Assumptions!E53*Assumptions!$L53*#REF!)))</f>
        <v>#REF!</v>
      </c>
      <c r="D203" s="16" t="e">
        <f>IF($C$8=Assumptions!$I$30,Assumptions!F53*Assumptions!$I53*#REF!,IF($C$8=Assumptions!$J$30,Assumptions!F53*Assumptions!$J53*#REF!,IF($C$8=Assumptions!$K$30,Assumptions!F53*Assumptions!$K53*#REF!,Assumptions!F53*Assumptions!$L53*#REF!)))</f>
        <v>#REF!</v>
      </c>
      <c r="E203" s="16" t="e">
        <f>IF($C$8=Assumptions!$I$30,Assumptions!$G53*Assumptions!$I53*#REF!,IF($C$8=Assumptions!$J$30,Assumptions!$G53*Assumptions!$J53*#REF!,IF($C$8=Assumptions!$K$30,Assumptions!$G53*Assumptions!$K53*#REF!,Assumptions!$G53*Assumptions!$L53*#REF!)))</f>
        <v>#REF!</v>
      </c>
      <c r="F203" s="16" t="e">
        <f>IF($C$8=Assumptions!$I$30,Assumptions!$G53*Assumptions!$I53*#REF!,IF($C$8=Assumptions!$J$30,Assumptions!$G53*Assumptions!$J53*#REF!,IF($C$8=Assumptions!$K$30,Assumptions!$G53*Assumptions!$K53*#REF!,Assumptions!$G53*Assumptions!$L53*#REF!)))</f>
        <v>#REF!</v>
      </c>
      <c r="G203" s="16" t="e">
        <f>IF($C$8=Assumptions!$I$30,Assumptions!$G53*Assumptions!$I53*#REF!,IF($C$8=Assumptions!$J$30,Assumptions!$G53*Assumptions!$J53*#REF!,IF($C$8=Assumptions!$K$30,Assumptions!$G53*Assumptions!$K53*#REF!,Assumptions!$G53*Assumptions!$L53*#REF!)))</f>
        <v>#REF!</v>
      </c>
      <c r="H203" s="16" t="e">
        <f>IF($C$8=Assumptions!$I$30,Assumptions!$G53*Assumptions!$I53*#REF!,IF($C$8=Assumptions!$J$30,Assumptions!$G53*Assumptions!$J53*#REF!,IF($C$8=Assumptions!$K$30,Assumptions!$G53*Assumptions!$K53*#REF!,Assumptions!$G53*Assumptions!$L53*#REF!)))</f>
        <v>#REF!</v>
      </c>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row>
    <row r="204" spans="1:69" s="6" customFormat="1" x14ac:dyDescent="0.35">
      <c r="A204" s="6">
        <f t="shared" ca="1" si="7"/>
        <v>2049</v>
      </c>
      <c r="C204" s="16" t="e">
        <f>IF($C$8=Assumptions!$I$30,Assumptions!E54*Assumptions!$I54*#REF!,IF($C$8=Assumptions!$J$30,Assumptions!E54*Assumptions!$J54*#REF!,IF($C$8=Assumptions!$K$30,Assumptions!E54*Assumptions!$K54*#REF!,Assumptions!E54*Assumptions!$L54*#REF!)))</f>
        <v>#REF!</v>
      </c>
      <c r="D204" s="16" t="e">
        <f>IF($C$8=Assumptions!$I$30,Assumptions!F54*Assumptions!$I54*#REF!,IF($C$8=Assumptions!$J$30,Assumptions!F54*Assumptions!$J54*#REF!,IF($C$8=Assumptions!$K$30,Assumptions!F54*Assumptions!$K54*#REF!,Assumptions!F54*Assumptions!$L54*#REF!)))</f>
        <v>#REF!</v>
      </c>
      <c r="E204" s="16" t="e">
        <f>IF($C$8=Assumptions!$I$30,Assumptions!$G54*Assumptions!$I54*#REF!,IF($C$8=Assumptions!$J$30,Assumptions!$G54*Assumptions!$J54*#REF!,IF($C$8=Assumptions!$K$30,Assumptions!$G54*Assumptions!$K54*#REF!,Assumptions!$G54*Assumptions!$L54*#REF!)))</f>
        <v>#REF!</v>
      </c>
      <c r="F204" s="16" t="e">
        <f>IF($C$8=Assumptions!$I$30,Assumptions!$G54*Assumptions!$I54*#REF!,IF($C$8=Assumptions!$J$30,Assumptions!$G54*Assumptions!$J54*#REF!,IF($C$8=Assumptions!$K$30,Assumptions!$G54*Assumptions!$K54*#REF!,Assumptions!$G54*Assumptions!$L54*#REF!)))</f>
        <v>#REF!</v>
      </c>
      <c r="G204" s="16" t="e">
        <f>IF($C$8=Assumptions!$I$30,Assumptions!$G54*Assumptions!$I54*#REF!,IF($C$8=Assumptions!$J$30,Assumptions!$G54*Assumptions!$J54*#REF!,IF($C$8=Assumptions!$K$30,Assumptions!$G54*Assumptions!$K54*#REF!,Assumptions!$G54*Assumptions!$L54*#REF!)))</f>
        <v>#REF!</v>
      </c>
      <c r="H204" s="16" t="e">
        <f>IF($C$8=Assumptions!$I$30,Assumptions!$G54*Assumptions!$I54*#REF!,IF($C$8=Assumptions!$J$30,Assumptions!$G54*Assumptions!$J54*#REF!,IF($C$8=Assumptions!$K$30,Assumptions!$G54*Assumptions!$K54*#REF!,Assumptions!$G54*Assumptions!$L54*#REF!)))</f>
        <v>#REF!</v>
      </c>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row>
    <row r="205" spans="1:69" s="6" customFormat="1" x14ac:dyDescent="0.35">
      <c r="A205" s="6">
        <f t="shared" ca="1" si="7"/>
        <v>2050</v>
      </c>
      <c r="C205" s="16" t="e">
        <f>IF($C$8=Assumptions!$I$30,Assumptions!E55*Assumptions!$I55*#REF!,IF($C$8=Assumptions!$J$30,Assumptions!E55*Assumptions!$J55*#REF!,IF($C$8=Assumptions!$K$30,Assumptions!E55*Assumptions!$K55*#REF!,Assumptions!E55*Assumptions!$L55*#REF!)))</f>
        <v>#REF!</v>
      </c>
      <c r="D205" s="16" t="e">
        <f>IF($C$8=Assumptions!$I$30,Assumptions!F55*Assumptions!$I55*#REF!,IF($C$8=Assumptions!$J$30,Assumptions!F55*Assumptions!$J55*#REF!,IF($C$8=Assumptions!$K$30,Assumptions!F55*Assumptions!$K55*#REF!,Assumptions!F55*Assumptions!$L55*#REF!)))</f>
        <v>#REF!</v>
      </c>
      <c r="E205" s="16" t="e">
        <f>IF($C$8=Assumptions!$I$30,Assumptions!$G55*Assumptions!$I55*#REF!,IF($C$8=Assumptions!$J$30,Assumptions!$G55*Assumptions!$J55*#REF!,IF($C$8=Assumptions!$K$30,Assumptions!$G55*Assumptions!$K55*#REF!,Assumptions!$G55*Assumptions!$L55*#REF!)))</f>
        <v>#REF!</v>
      </c>
      <c r="F205" s="16" t="e">
        <f>IF($C$8=Assumptions!$I$30,Assumptions!$G55*Assumptions!$I55*#REF!,IF($C$8=Assumptions!$J$30,Assumptions!$G55*Assumptions!$J55*#REF!,IF($C$8=Assumptions!$K$30,Assumptions!$G55*Assumptions!$K55*#REF!,Assumptions!$G55*Assumptions!$L55*#REF!)))</f>
        <v>#REF!</v>
      </c>
      <c r="G205" s="16" t="e">
        <f>IF($C$8=Assumptions!$I$30,Assumptions!$G55*Assumptions!$I55*#REF!,IF($C$8=Assumptions!$J$30,Assumptions!$G55*Assumptions!$J55*#REF!,IF($C$8=Assumptions!$K$30,Assumptions!$G55*Assumptions!$K55*#REF!,Assumptions!$G55*Assumptions!$L55*#REF!)))</f>
        <v>#REF!</v>
      </c>
      <c r="H205" s="16" t="e">
        <f>IF($C$8=Assumptions!$I$30,Assumptions!$G55*Assumptions!$I55*#REF!,IF($C$8=Assumptions!$J$30,Assumptions!$G55*Assumptions!$J55*#REF!,IF($C$8=Assumptions!$K$30,Assumptions!$G55*Assumptions!$K55*#REF!,Assumptions!$G55*Assumptions!$L55*#REF!)))</f>
        <v>#REF!</v>
      </c>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row>
    <row r="206" spans="1:69" s="6" customFormat="1" x14ac:dyDescent="0.35">
      <c r="A206" s="6">
        <f t="shared" ca="1" si="7"/>
        <v>2051</v>
      </c>
      <c r="C206" s="16" t="e">
        <f>IF($C$8=Assumptions!$I$30,Assumptions!E56*Assumptions!$I56*#REF!,IF($C$8=Assumptions!$J$30,Assumptions!E56*Assumptions!$J56*#REF!,IF($C$8=Assumptions!$K$30,Assumptions!E56*Assumptions!$K56*#REF!,Assumptions!E56*Assumptions!$L56*#REF!)))</f>
        <v>#REF!</v>
      </c>
      <c r="D206" s="16" t="e">
        <f>IF($C$8=Assumptions!$I$30,Assumptions!F56*Assumptions!$I56*#REF!,IF($C$8=Assumptions!$J$30,Assumptions!F56*Assumptions!$J56*#REF!,IF($C$8=Assumptions!$K$30,Assumptions!F56*Assumptions!$K56*#REF!,Assumptions!F56*Assumptions!$L56*#REF!)))</f>
        <v>#REF!</v>
      </c>
      <c r="E206" s="16" t="e">
        <f>IF($C$8=Assumptions!$I$30,Assumptions!$G56*Assumptions!$I56*#REF!,IF($C$8=Assumptions!$J$30,Assumptions!$G56*Assumptions!$J56*#REF!,IF($C$8=Assumptions!$K$30,Assumptions!$G56*Assumptions!$K56*#REF!,Assumptions!$G56*Assumptions!$L56*#REF!)))</f>
        <v>#REF!</v>
      </c>
      <c r="F206" s="16" t="e">
        <f>IF($C$8=Assumptions!$I$30,Assumptions!$G56*Assumptions!$I56*#REF!,IF($C$8=Assumptions!$J$30,Assumptions!$G56*Assumptions!$J56*#REF!,IF($C$8=Assumptions!$K$30,Assumptions!$G56*Assumptions!$K56*#REF!,Assumptions!$G56*Assumptions!$L56*#REF!)))</f>
        <v>#REF!</v>
      </c>
      <c r="G206" s="16" t="e">
        <f>IF($C$8=Assumptions!$I$30,Assumptions!$G56*Assumptions!$I56*#REF!,IF($C$8=Assumptions!$J$30,Assumptions!$G56*Assumptions!$J56*#REF!,IF($C$8=Assumptions!$K$30,Assumptions!$G56*Assumptions!$K56*#REF!,Assumptions!$G56*Assumptions!$L56*#REF!)))</f>
        <v>#REF!</v>
      </c>
      <c r="H206" s="16" t="e">
        <f>IF($C$8=Assumptions!$I$30,Assumptions!$G56*Assumptions!$I56*#REF!,IF($C$8=Assumptions!$J$30,Assumptions!$G56*Assumptions!$J56*#REF!,IF($C$8=Assumptions!$K$30,Assumptions!$G56*Assumptions!$K56*#REF!,Assumptions!$G56*Assumptions!$L56*#REF!)))</f>
        <v>#REF!</v>
      </c>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row>
    <row r="207" spans="1:69" s="6" customFormat="1" x14ac:dyDescent="0.35">
      <c r="A207" s="6">
        <f t="shared" ca="1" si="7"/>
        <v>2052</v>
      </c>
      <c r="C207" s="16" t="e">
        <f>IF($C$8=Assumptions!$I$30,Assumptions!E57*Assumptions!$I57*#REF!,IF($C$8=Assumptions!$J$30,Assumptions!E57*Assumptions!$J57*#REF!,IF($C$8=Assumptions!$K$30,Assumptions!E57*Assumptions!$K57*#REF!,Assumptions!E57*Assumptions!$L57*#REF!)))</f>
        <v>#REF!</v>
      </c>
      <c r="D207" s="16" t="e">
        <f>IF($C$8=Assumptions!$I$30,Assumptions!F57*Assumptions!$I57*#REF!,IF($C$8=Assumptions!$J$30,Assumptions!F57*Assumptions!$J57*#REF!,IF($C$8=Assumptions!$K$30,Assumptions!F57*Assumptions!$K57*#REF!,Assumptions!F57*Assumptions!$L57*#REF!)))</f>
        <v>#REF!</v>
      </c>
      <c r="E207" s="16" t="e">
        <f>IF($C$8=Assumptions!$I$30,Assumptions!$G57*Assumptions!$I57*#REF!,IF($C$8=Assumptions!$J$30,Assumptions!$G57*Assumptions!$J57*#REF!,IF($C$8=Assumptions!$K$30,Assumptions!$G57*Assumptions!$K57*#REF!,Assumptions!$G57*Assumptions!$L57*#REF!)))</f>
        <v>#REF!</v>
      </c>
      <c r="F207" s="16" t="e">
        <f>IF($C$8=Assumptions!$I$30,Assumptions!$G57*Assumptions!$I57*#REF!,IF($C$8=Assumptions!$J$30,Assumptions!$G57*Assumptions!$J57*#REF!,IF($C$8=Assumptions!$K$30,Assumptions!$G57*Assumptions!$K57*#REF!,Assumptions!$G57*Assumptions!$L57*#REF!)))</f>
        <v>#REF!</v>
      </c>
      <c r="G207" s="16" t="e">
        <f>IF($C$8=Assumptions!$I$30,Assumptions!$G57*Assumptions!$I57*#REF!,IF($C$8=Assumptions!$J$30,Assumptions!$G57*Assumptions!$J57*#REF!,IF($C$8=Assumptions!$K$30,Assumptions!$G57*Assumptions!$K57*#REF!,Assumptions!$G57*Assumptions!$L57*#REF!)))</f>
        <v>#REF!</v>
      </c>
      <c r="H207" s="16" t="e">
        <f>IF($C$8=Assumptions!$I$30,Assumptions!$G57*Assumptions!$I57*#REF!,IF($C$8=Assumptions!$J$30,Assumptions!$G57*Assumptions!$J57*#REF!,IF($C$8=Assumptions!$K$30,Assumptions!$G57*Assumptions!$K57*#REF!,Assumptions!$G57*Assumptions!$L57*#REF!)))</f>
        <v>#REF!</v>
      </c>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row>
    <row r="208" spans="1:69" s="6" customFormat="1" x14ac:dyDescent="0.35">
      <c r="A208" s="6">
        <f t="shared" ca="1" si="7"/>
        <v>2053</v>
      </c>
      <c r="C208" s="16" t="e">
        <f>IF($C$8=Assumptions!$I$30,Assumptions!E58*Assumptions!$I58*#REF!,IF($C$8=Assumptions!$J$30,Assumptions!E58*Assumptions!$J58*#REF!,IF($C$8=Assumptions!$K$30,Assumptions!E58*Assumptions!$K58*#REF!,Assumptions!E58*Assumptions!$L58*#REF!)))</f>
        <v>#REF!</v>
      </c>
      <c r="D208" s="16" t="e">
        <f>IF($C$8=Assumptions!$I$30,Assumptions!F58*Assumptions!$I58*#REF!,IF($C$8=Assumptions!$J$30,Assumptions!F58*Assumptions!$J58*#REF!,IF($C$8=Assumptions!$K$30,Assumptions!F58*Assumptions!$K58*#REF!,Assumptions!F58*Assumptions!$L58*#REF!)))</f>
        <v>#REF!</v>
      </c>
      <c r="E208" s="16" t="e">
        <f>IF($C$8=Assumptions!$I$30,Assumptions!$G58*Assumptions!$I58*#REF!,IF($C$8=Assumptions!$J$30,Assumptions!$G58*Assumptions!$J58*#REF!,IF($C$8=Assumptions!$K$30,Assumptions!$G58*Assumptions!$K58*#REF!,Assumptions!$G58*Assumptions!$L58*#REF!)))</f>
        <v>#REF!</v>
      </c>
      <c r="F208" s="16" t="e">
        <f>IF($C$8=Assumptions!$I$30,Assumptions!$G58*Assumptions!$I58*#REF!,IF($C$8=Assumptions!$J$30,Assumptions!$G58*Assumptions!$J58*#REF!,IF($C$8=Assumptions!$K$30,Assumptions!$G58*Assumptions!$K58*#REF!,Assumptions!$G58*Assumptions!$L58*#REF!)))</f>
        <v>#REF!</v>
      </c>
      <c r="G208" s="16" t="e">
        <f>IF($C$8=Assumptions!$I$30,Assumptions!$G58*Assumptions!$I58*#REF!,IF($C$8=Assumptions!$J$30,Assumptions!$G58*Assumptions!$J58*#REF!,IF($C$8=Assumptions!$K$30,Assumptions!$G58*Assumptions!$K58*#REF!,Assumptions!$G58*Assumptions!$L58*#REF!)))</f>
        <v>#REF!</v>
      </c>
      <c r="H208" s="16" t="e">
        <f>IF($C$8=Assumptions!$I$30,Assumptions!$G58*Assumptions!$I58*#REF!,IF($C$8=Assumptions!$J$30,Assumptions!$G58*Assumptions!$J58*#REF!,IF($C$8=Assumptions!$K$30,Assumptions!$G58*Assumptions!$K58*#REF!,Assumptions!$G58*Assumptions!$L58*#REF!)))</f>
        <v>#REF!</v>
      </c>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row>
    <row r="209" spans="1:69" s="6" customFormat="1" x14ac:dyDescent="0.35">
      <c r="A209" s="6">
        <f t="shared" ca="1" si="7"/>
        <v>2054</v>
      </c>
      <c r="C209" s="16" t="e">
        <f>IF($C$8=Assumptions!$I$30,Assumptions!E59*Assumptions!$I59*#REF!,IF($C$8=Assumptions!$J$30,Assumptions!E59*Assumptions!$J59*#REF!,IF($C$8=Assumptions!$K$30,Assumptions!E59*Assumptions!$K59*#REF!,Assumptions!E59*Assumptions!$L59*#REF!)))</f>
        <v>#REF!</v>
      </c>
      <c r="D209" s="16" t="e">
        <f>IF($C$8=Assumptions!$I$30,Assumptions!F59*Assumptions!$I59*#REF!,IF($C$8=Assumptions!$J$30,Assumptions!F59*Assumptions!$J59*#REF!,IF($C$8=Assumptions!$K$30,Assumptions!F59*Assumptions!$K59*#REF!,Assumptions!F59*Assumptions!$L59*#REF!)))</f>
        <v>#REF!</v>
      </c>
      <c r="E209" s="16" t="e">
        <f>IF($C$8=Assumptions!$I$30,Assumptions!$G59*Assumptions!$I59*#REF!,IF($C$8=Assumptions!$J$30,Assumptions!$G59*Assumptions!$J59*#REF!,IF($C$8=Assumptions!$K$30,Assumptions!$G59*Assumptions!$K59*#REF!,Assumptions!$G59*Assumptions!$L59*#REF!)))</f>
        <v>#REF!</v>
      </c>
      <c r="F209" s="16" t="e">
        <f>IF($C$8=Assumptions!$I$30,Assumptions!$G59*Assumptions!$I59*#REF!,IF($C$8=Assumptions!$J$30,Assumptions!$G59*Assumptions!$J59*#REF!,IF($C$8=Assumptions!$K$30,Assumptions!$G59*Assumptions!$K59*#REF!,Assumptions!$G59*Assumptions!$L59*#REF!)))</f>
        <v>#REF!</v>
      </c>
      <c r="G209" s="16" t="e">
        <f>IF($C$8=Assumptions!$I$30,Assumptions!$G59*Assumptions!$I59*#REF!,IF($C$8=Assumptions!$J$30,Assumptions!$G59*Assumptions!$J59*#REF!,IF($C$8=Assumptions!$K$30,Assumptions!$G59*Assumptions!$K59*#REF!,Assumptions!$G59*Assumptions!$L59*#REF!)))</f>
        <v>#REF!</v>
      </c>
      <c r="H209" s="16" t="e">
        <f>IF($C$8=Assumptions!$I$30,Assumptions!$G59*Assumptions!$I59*#REF!,IF($C$8=Assumptions!$J$30,Assumptions!$G59*Assumptions!$J59*#REF!,IF($C$8=Assumptions!$K$30,Assumptions!$G59*Assumptions!$K59*#REF!,Assumptions!$G59*Assumptions!$L59*#REF!)))</f>
        <v>#REF!</v>
      </c>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row>
    <row r="210" spans="1:69" s="6" customFormat="1" x14ac:dyDescent="0.35">
      <c r="A210" s="6">
        <f t="shared" ca="1" si="7"/>
        <v>2055</v>
      </c>
      <c r="C210" s="16" t="e">
        <f>IF($C$8=Assumptions!$I$30,Assumptions!E60*Assumptions!$I60*#REF!,IF($C$8=Assumptions!$J$30,Assumptions!E60*Assumptions!$J60*#REF!,IF($C$8=Assumptions!$K$30,Assumptions!E60*Assumptions!$K60*#REF!,Assumptions!E60*Assumptions!$L60*#REF!)))</f>
        <v>#REF!</v>
      </c>
      <c r="D210" s="16" t="e">
        <f>IF($C$8=Assumptions!$I$30,Assumptions!F60*Assumptions!$I60*#REF!,IF($C$8=Assumptions!$J$30,Assumptions!F60*Assumptions!$J60*#REF!,IF($C$8=Assumptions!$K$30,Assumptions!F60*Assumptions!$K60*#REF!,Assumptions!F60*Assumptions!$L60*#REF!)))</f>
        <v>#REF!</v>
      </c>
      <c r="E210" s="16" t="e">
        <f>IF($C$8=Assumptions!$I$30,Assumptions!$G60*Assumptions!$I60*#REF!,IF($C$8=Assumptions!$J$30,Assumptions!$G60*Assumptions!$J60*#REF!,IF($C$8=Assumptions!$K$30,Assumptions!$G60*Assumptions!$K60*#REF!,Assumptions!$G60*Assumptions!$L60*#REF!)))</f>
        <v>#REF!</v>
      </c>
      <c r="F210" s="16" t="e">
        <f>IF($C$8=Assumptions!$I$30,Assumptions!$G60*Assumptions!$I60*#REF!,IF($C$8=Assumptions!$J$30,Assumptions!$G60*Assumptions!$J60*#REF!,IF($C$8=Assumptions!$K$30,Assumptions!$G60*Assumptions!$K60*#REF!,Assumptions!$G60*Assumptions!$L60*#REF!)))</f>
        <v>#REF!</v>
      </c>
      <c r="G210" s="16" t="e">
        <f>IF($C$8=Assumptions!$I$30,Assumptions!$G60*Assumptions!$I60*#REF!,IF($C$8=Assumptions!$J$30,Assumptions!$G60*Assumptions!$J60*#REF!,IF($C$8=Assumptions!$K$30,Assumptions!$G60*Assumptions!$K60*#REF!,Assumptions!$G60*Assumptions!$L60*#REF!)))</f>
        <v>#REF!</v>
      </c>
      <c r="H210" s="16" t="e">
        <f>IF($C$8=Assumptions!$I$30,Assumptions!$G60*Assumptions!$I60*#REF!,IF($C$8=Assumptions!$J$30,Assumptions!$G60*Assumptions!$J60*#REF!,IF($C$8=Assumptions!$K$30,Assumptions!$G60*Assumptions!$K60*#REF!,Assumptions!$G60*Assumptions!$L60*#REF!)))</f>
        <v>#REF!</v>
      </c>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row>
    <row r="211" spans="1:69" s="6" customFormat="1" x14ac:dyDescent="0.35">
      <c r="A211" s="6">
        <f t="shared" ca="1" si="7"/>
        <v>2056</v>
      </c>
      <c r="C211" s="16" t="e">
        <f>IF($C$8=Assumptions!$I$30,Assumptions!E61*Assumptions!$I61*#REF!,IF($C$8=Assumptions!$J$30,Assumptions!E61*Assumptions!$J61*#REF!,IF($C$8=Assumptions!$K$30,Assumptions!E61*Assumptions!$K61*#REF!,Assumptions!E61*Assumptions!$L61*#REF!)))</f>
        <v>#REF!</v>
      </c>
      <c r="D211" s="16" t="e">
        <f>IF($C$8=Assumptions!$I$30,Assumptions!F61*Assumptions!$I61*#REF!,IF($C$8=Assumptions!$J$30,Assumptions!F61*Assumptions!$J61*#REF!,IF($C$8=Assumptions!$K$30,Assumptions!F61*Assumptions!$K61*#REF!,Assumptions!F61*Assumptions!$L61*#REF!)))</f>
        <v>#REF!</v>
      </c>
      <c r="E211" s="16" t="e">
        <f>IF($C$8=Assumptions!$I$30,Assumptions!$G61*Assumptions!$I61*#REF!,IF($C$8=Assumptions!$J$30,Assumptions!$G61*Assumptions!$J61*#REF!,IF($C$8=Assumptions!$K$30,Assumptions!$G61*Assumptions!$K61*#REF!,Assumptions!$G61*Assumptions!$L61*#REF!)))</f>
        <v>#REF!</v>
      </c>
      <c r="F211" s="16" t="e">
        <f>IF($C$8=Assumptions!$I$30,Assumptions!$G61*Assumptions!$I61*#REF!,IF($C$8=Assumptions!$J$30,Assumptions!$G61*Assumptions!$J61*#REF!,IF($C$8=Assumptions!$K$30,Assumptions!$G61*Assumptions!$K61*#REF!,Assumptions!$G61*Assumptions!$L61*#REF!)))</f>
        <v>#REF!</v>
      </c>
      <c r="G211" s="16" t="e">
        <f>IF($C$8=Assumptions!$I$30,Assumptions!$G61*Assumptions!$I61*#REF!,IF($C$8=Assumptions!$J$30,Assumptions!$G61*Assumptions!$J61*#REF!,IF($C$8=Assumptions!$K$30,Assumptions!$G61*Assumptions!$K61*#REF!,Assumptions!$G61*Assumptions!$L61*#REF!)))</f>
        <v>#REF!</v>
      </c>
      <c r="H211" s="16" t="e">
        <f>IF($C$8=Assumptions!$I$30,Assumptions!$G61*Assumptions!$I61*#REF!,IF($C$8=Assumptions!$J$30,Assumptions!$G61*Assumptions!$J61*#REF!,IF($C$8=Assumptions!$K$30,Assumptions!$G61*Assumptions!$K61*#REF!,Assumptions!$G61*Assumptions!$L61*#REF!)))</f>
        <v>#REF!</v>
      </c>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row>
    <row r="212" spans="1:69" s="6" customFormat="1" x14ac:dyDescent="0.35">
      <c r="A212" s="6">
        <f t="shared" ca="1" si="7"/>
        <v>2057</v>
      </c>
      <c r="C212" s="16" t="e">
        <f>IF($C$8=Assumptions!$I$30,Assumptions!E62*Assumptions!$I62*#REF!,IF($C$8=Assumptions!$J$30,Assumptions!E62*Assumptions!$J62*#REF!,IF($C$8=Assumptions!$K$30,Assumptions!E62*Assumptions!$K62*#REF!,Assumptions!E62*Assumptions!$L62*#REF!)))</f>
        <v>#REF!</v>
      </c>
      <c r="D212" s="16" t="e">
        <f>IF($C$8=Assumptions!$I$30,Assumptions!F62*Assumptions!$I62*#REF!,IF($C$8=Assumptions!$J$30,Assumptions!F62*Assumptions!$J62*#REF!,IF($C$8=Assumptions!$K$30,Assumptions!F62*Assumptions!$K62*#REF!,Assumptions!F62*Assumptions!$L62*#REF!)))</f>
        <v>#REF!</v>
      </c>
      <c r="E212" s="16" t="e">
        <f>IF($C$8=Assumptions!$I$30,Assumptions!$G62*Assumptions!$I62*#REF!,IF($C$8=Assumptions!$J$30,Assumptions!$G62*Assumptions!$J62*#REF!,IF($C$8=Assumptions!$K$30,Assumptions!$G62*Assumptions!$K62*#REF!,Assumptions!$G62*Assumptions!$L62*#REF!)))</f>
        <v>#REF!</v>
      </c>
      <c r="F212" s="16" t="e">
        <f>IF($C$8=Assumptions!$I$30,Assumptions!$G62*Assumptions!$I62*#REF!,IF($C$8=Assumptions!$J$30,Assumptions!$G62*Assumptions!$J62*#REF!,IF($C$8=Assumptions!$K$30,Assumptions!$G62*Assumptions!$K62*#REF!,Assumptions!$G62*Assumptions!$L62*#REF!)))</f>
        <v>#REF!</v>
      </c>
      <c r="G212" s="16" t="e">
        <f>IF($C$8=Assumptions!$I$30,Assumptions!$G62*Assumptions!$I62*#REF!,IF($C$8=Assumptions!$J$30,Assumptions!$G62*Assumptions!$J62*#REF!,IF($C$8=Assumptions!$K$30,Assumptions!$G62*Assumptions!$K62*#REF!,Assumptions!$G62*Assumptions!$L62*#REF!)))</f>
        <v>#REF!</v>
      </c>
      <c r="H212" s="16" t="e">
        <f>IF($C$8=Assumptions!$I$30,Assumptions!$G62*Assumptions!$I62*#REF!,IF($C$8=Assumptions!$J$30,Assumptions!$G62*Assumptions!$J62*#REF!,IF($C$8=Assumptions!$K$30,Assumptions!$G62*Assumptions!$K62*#REF!,Assumptions!$G62*Assumptions!$L62*#REF!)))</f>
        <v>#REF!</v>
      </c>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row>
    <row r="213" spans="1:69" s="6" customFormat="1" x14ac:dyDescent="0.35">
      <c r="A213" s="6">
        <f t="shared" ca="1" si="7"/>
        <v>2058</v>
      </c>
      <c r="C213" s="16" t="e">
        <f>IF($C$8=Assumptions!$I$30,Assumptions!E63*Assumptions!$I63*#REF!,IF($C$8=Assumptions!$J$30,Assumptions!E63*Assumptions!$J63*#REF!,IF($C$8=Assumptions!$K$30,Assumptions!E63*Assumptions!$K63*#REF!,Assumptions!E63*Assumptions!$L63*#REF!)))</f>
        <v>#REF!</v>
      </c>
      <c r="D213" s="16" t="e">
        <f>IF($C$8=Assumptions!$I$30,Assumptions!F63*Assumptions!$I63*#REF!,IF($C$8=Assumptions!$J$30,Assumptions!F63*Assumptions!$J63*#REF!,IF($C$8=Assumptions!$K$30,Assumptions!F63*Assumptions!$K63*#REF!,Assumptions!F63*Assumptions!$L63*#REF!)))</f>
        <v>#REF!</v>
      </c>
      <c r="E213" s="16" t="e">
        <f>IF($C$8=Assumptions!$I$30,Assumptions!$G63*Assumptions!$I63*#REF!,IF($C$8=Assumptions!$J$30,Assumptions!$G63*Assumptions!$J63*#REF!,IF($C$8=Assumptions!$K$30,Assumptions!$G63*Assumptions!$K63*#REF!,Assumptions!$G63*Assumptions!$L63*#REF!)))</f>
        <v>#REF!</v>
      </c>
      <c r="F213" s="16" t="e">
        <f>IF($C$8=Assumptions!$I$30,Assumptions!$G63*Assumptions!$I63*#REF!,IF($C$8=Assumptions!$J$30,Assumptions!$G63*Assumptions!$J63*#REF!,IF($C$8=Assumptions!$K$30,Assumptions!$G63*Assumptions!$K63*#REF!,Assumptions!$G63*Assumptions!$L63*#REF!)))</f>
        <v>#REF!</v>
      </c>
      <c r="G213" s="16" t="e">
        <f>IF($C$8=Assumptions!$I$30,Assumptions!$G63*Assumptions!$I63*#REF!,IF($C$8=Assumptions!$J$30,Assumptions!$G63*Assumptions!$J63*#REF!,IF($C$8=Assumptions!$K$30,Assumptions!$G63*Assumptions!$K63*#REF!,Assumptions!$G63*Assumptions!$L63*#REF!)))</f>
        <v>#REF!</v>
      </c>
      <c r="H213" s="16" t="e">
        <f>IF($C$8=Assumptions!$I$30,Assumptions!$G63*Assumptions!$I63*#REF!,IF($C$8=Assumptions!$J$30,Assumptions!$G63*Assumptions!$J63*#REF!,IF($C$8=Assumptions!$K$30,Assumptions!$G63*Assumptions!$K63*#REF!,Assumptions!$G63*Assumptions!$L63*#REF!)))</f>
        <v>#REF!</v>
      </c>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row>
    <row r="214" spans="1:69" s="6" customFormat="1" x14ac:dyDescent="0.35">
      <c r="A214" s="6">
        <f t="shared" ca="1" si="7"/>
        <v>2059</v>
      </c>
      <c r="C214" s="16" t="e">
        <f>IF($C$8=Assumptions!$I$30,Assumptions!E64*Assumptions!$I64*#REF!,IF($C$8=Assumptions!$J$30,Assumptions!E64*Assumptions!$J64*#REF!,IF($C$8=Assumptions!$K$30,Assumptions!E64*Assumptions!$K64*#REF!,Assumptions!E64*Assumptions!$L64*#REF!)))</f>
        <v>#REF!</v>
      </c>
      <c r="D214" s="16" t="e">
        <f>IF($C$8=Assumptions!$I$30,Assumptions!F64*Assumptions!$I64*#REF!,IF($C$8=Assumptions!$J$30,Assumptions!F64*Assumptions!$J64*#REF!,IF($C$8=Assumptions!$K$30,Assumptions!F64*Assumptions!$K64*#REF!,Assumptions!F64*Assumptions!$L64*#REF!)))</f>
        <v>#REF!</v>
      </c>
      <c r="E214" s="16" t="e">
        <f>IF($C$8=Assumptions!$I$30,Assumptions!$G64*Assumptions!$I64*#REF!,IF($C$8=Assumptions!$J$30,Assumptions!$G64*Assumptions!$J64*#REF!,IF($C$8=Assumptions!$K$30,Assumptions!$G64*Assumptions!$K64*#REF!,Assumptions!$G64*Assumptions!$L64*#REF!)))</f>
        <v>#REF!</v>
      </c>
      <c r="F214" s="16" t="e">
        <f>IF($C$8=Assumptions!$I$30,Assumptions!$G64*Assumptions!$I64*#REF!,IF($C$8=Assumptions!$J$30,Assumptions!$G64*Assumptions!$J64*#REF!,IF($C$8=Assumptions!$K$30,Assumptions!$G64*Assumptions!$K64*#REF!,Assumptions!$G64*Assumptions!$L64*#REF!)))</f>
        <v>#REF!</v>
      </c>
      <c r="G214" s="16" t="e">
        <f>IF($C$8=Assumptions!$I$30,Assumptions!$G64*Assumptions!$I64*#REF!,IF($C$8=Assumptions!$J$30,Assumptions!$G64*Assumptions!$J64*#REF!,IF($C$8=Assumptions!$K$30,Assumptions!$G64*Assumptions!$K64*#REF!,Assumptions!$G64*Assumptions!$L64*#REF!)))</f>
        <v>#REF!</v>
      </c>
      <c r="H214" s="16" t="e">
        <f>IF($C$8=Assumptions!$I$30,Assumptions!$G64*Assumptions!$I64*#REF!,IF($C$8=Assumptions!$J$30,Assumptions!$G64*Assumptions!$J64*#REF!,IF($C$8=Assumptions!$K$30,Assumptions!$G64*Assumptions!$K64*#REF!,Assumptions!$G64*Assumptions!$L64*#REF!)))</f>
        <v>#REF!</v>
      </c>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row>
    <row r="215" spans="1:69" s="6" customFormat="1" x14ac:dyDescent="0.35">
      <c r="A215" s="6">
        <f t="shared" ca="1" si="7"/>
        <v>2060</v>
      </c>
      <c r="C215" s="16" t="e">
        <f>IF($C$8=Assumptions!$I$30,Assumptions!E65*Assumptions!$I65*#REF!,IF($C$8=Assumptions!$J$30,Assumptions!E65*Assumptions!$J65*#REF!,IF($C$8=Assumptions!$K$30,Assumptions!E65*Assumptions!$K65*#REF!,Assumptions!E65*Assumptions!$L65*#REF!)))</f>
        <v>#REF!</v>
      </c>
      <c r="D215" s="16" t="e">
        <f>IF($C$8=Assumptions!$I$30,Assumptions!F65*Assumptions!$I65*#REF!,IF($C$8=Assumptions!$J$30,Assumptions!F65*Assumptions!$J65*#REF!,IF($C$8=Assumptions!$K$30,Assumptions!F65*Assumptions!$K65*#REF!,Assumptions!F65*Assumptions!$L65*#REF!)))</f>
        <v>#REF!</v>
      </c>
      <c r="E215" s="16" t="e">
        <f>IF($C$8=Assumptions!$I$30,Assumptions!$G65*Assumptions!$I65*#REF!,IF($C$8=Assumptions!$J$30,Assumptions!$G65*Assumptions!$J65*#REF!,IF($C$8=Assumptions!$K$30,Assumptions!$G65*Assumptions!$K65*#REF!,Assumptions!$G65*Assumptions!$L65*#REF!)))</f>
        <v>#REF!</v>
      </c>
      <c r="F215" s="16" t="e">
        <f>IF($C$8=Assumptions!$I$30,Assumptions!$G65*Assumptions!$I65*#REF!,IF($C$8=Assumptions!$J$30,Assumptions!$G65*Assumptions!$J65*#REF!,IF($C$8=Assumptions!$K$30,Assumptions!$G65*Assumptions!$K65*#REF!,Assumptions!$G65*Assumptions!$L65*#REF!)))</f>
        <v>#REF!</v>
      </c>
      <c r="G215" s="16" t="e">
        <f>IF($C$8=Assumptions!$I$30,Assumptions!$G65*Assumptions!$I65*#REF!,IF($C$8=Assumptions!$J$30,Assumptions!$G65*Assumptions!$J65*#REF!,IF($C$8=Assumptions!$K$30,Assumptions!$G65*Assumptions!$K65*#REF!,Assumptions!$G65*Assumptions!$L65*#REF!)))</f>
        <v>#REF!</v>
      </c>
      <c r="H215" s="16" t="e">
        <f>IF($C$8=Assumptions!$I$30,Assumptions!$G65*Assumptions!$I65*#REF!,IF($C$8=Assumptions!$J$30,Assumptions!$G65*Assumptions!$J65*#REF!,IF($C$8=Assumptions!$K$30,Assumptions!$G65*Assumptions!$K65*#REF!,Assumptions!$G65*Assumptions!$L65*#REF!)))</f>
        <v>#REF!</v>
      </c>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row>
    <row r="216" spans="1:69" s="6" customFormat="1" x14ac:dyDescent="0.35">
      <c r="A216" s="6">
        <f t="shared" ca="1" si="7"/>
        <v>2061</v>
      </c>
      <c r="C216" s="16" t="e">
        <f>IF($C$8=Assumptions!$I$30,Assumptions!E66*Assumptions!$I66*#REF!,IF($C$8=Assumptions!$J$30,Assumptions!E66*Assumptions!$J66*#REF!,IF($C$8=Assumptions!$K$30,Assumptions!E66*Assumptions!$K66*#REF!,Assumptions!E66*Assumptions!$L66*#REF!)))</f>
        <v>#REF!</v>
      </c>
      <c r="D216" s="16" t="e">
        <f>IF($C$8=Assumptions!$I$30,Assumptions!F66*Assumptions!$I66*#REF!,IF($C$8=Assumptions!$J$30,Assumptions!F66*Assumptions!$J66*#REF!,IF($C$8=Assumptions!$K$30,Assumptions!F66*Assumptions!$K66*#REF!,Assumptions!F66*Assumptions!$L66*#REF!)))</f>
        <v>#REF!</v>
      </c>
      <c r="E216" s="16" t="e">
        <f>IF($C$8=Assumptions!$I$30,Assumptions!$G66*Assumptions!$I66*#REF!,IF($C$8=Assumptions!$J$30,Assumptions!$G66*Assumptions!$J66*#REF!,IF($C$8=Assumptions!$K$30,Assumptions!$G66*Assumptions!$K66*#REF!,Assumptions!$G66*Assumptions!$L66*#REF!)))</f>
        <v>#REF!</v>
      </c>
      <c r="F216" s="16" t="e">
        <f>IF($C$8=Assumptions!$I$30,Assumptions!$G66*Assumptions!$I66*#REF!,IF($C$8=Assumptions!$J$30,Assumptions!$G66*Assumptions!$J66*#REF!,IF($C$8=Assumptions!$K$30,Assumptions!$G66*Assumptions!$K66*#REF!,Assumptions!$G66*Assumptions!$L66*#REF!)))</f>
        <v>#REF!</v>
      </c>
      <c r="G216" s="16" t="e">
        <f>IF($C$8=Assumptions!$I$30,Assumptions!$G66*Assumptions!$I66*#REF!,IF($C$8=Assumptions!$J$30,Assumptions!$G66*Assumptions!$J66*#REF!,IF($C$8=Assumptions!$K$30,Assumptions!$G66*Assumptions!$K66*#REF!,Assumptions!$G66*Assumptions!$L66*#REF!)))</f>
        <v>#REF!</v>
      </c>
      <c r="H216" s="16" t="e">
        <f>IF($C$8=Assumptions!$I$30,Assumptions!$G66*Assumptions!$I66*#REF!,IF($C$8=Assumptions!$J$30,Assumptions!$G66*Assumptions!$J66*#REF!,IF($C$8=Assumptions!$K$30,Assumptions!$G66*Assumptions!$K66*#REF!,Assumptions!$G66*Assumptions!$L66*#REF!)))</f>
        <v>#REF!</v>
      </c>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row>
    <row r="217" spans="1:69" s="6" customFormat="1" x14ac:dyDescent="0.35">
      <c r="A217" s="6">
        <f t="shared" ca="1" si="7"/>
        <v>2062</v>
      </c>
      <c r="C217" s="16" t="e">
        <f>IF($C$8=Assumptions!$I$30,Assumptions!E67*Assumptions!$I67*#REF!,IF($C$8=Assumptions!$J$30,Assumptions!E67*Assumptions!$J67*#REF!,IF($C$8=Assumptions!$K$30,Assumptions!E67*Assumptions!$K67*#REF!,Assumptions!E67*Assumptions!$L67*#REF!)))</f>
        <v>#REF!</v>
      </c>
      <c r="D217" s="16" t="e">
        <f>IF($C$8=Assumptions!$I$30,Assumptions!F67*Assumptions!$I67*#REF!,IF($C$8=Assumptions!$J$30,Assumptions!F67*Assumptions!$J67*#REF!,IF($C$8=Assumptions!$K$30,Assumptions!F67*Assumptions!$K67*#REF!,Assumptions!F67*Assumptions!$L67*#REF!)))</f>
        <v>#REF!</v>
      </c>
      <c r="E217" s="16" t="e">
        <f>IF($C$8=Assumptions!$I$30,Assumptions!$G67*Assumptions!$I67*#REF!,IF($C$8=Assumptions!$J$30,Assumptions!$G67*Assumptions!$J67*#REF!,IF($C$8=Assumptions!$K$30,Assumptions!$G67*Assumptions!$K67*#REF!,Assumptions!$G67*Assumptions!$L67*#REF!)))</f>
        <v>#REF!</v>
      </c>
      <c r="F217" s="16" t="e">
        <f>IF($C$8=Assumptions!$I$30,Assumptions!$G67*Assumptions!$I67*#REF!,IF($C$8=Assumptions!$J$30,Assumptions!$G67*Assumptions!$J67*#REF!,IF($C$8=Assumptions!$K$30,Assumptions!$G67*Assumptions!$K67*#REF!,Assumptions!$G67*Assumptions!$L67*#REF!)))</f>
        <v>#REF!</v>
      </c>
      <c r="G217" s="16" t="e">
        <f>IF($C$8=Assumptions!$I$30,Assumptions!$G67*Assumptions!$I67*#REF!,IF($C$8=Assumptions!$J$30,Assumptions!$G67*Assumptions!$J67*#REF!,IF($C$8=Assumptions!$K$30,Assumptions!$G67*Assumptions!$K67*#REF!,Assumptions!$G67*Assumptions!$L67*#REF!)))</f>
        <v>#REF!</v>
      </c>
      <c r="H217" s="16" t="e">
        <f>IF($C$8=Assumptions!$I$30,Assumptions!$G67*Assumptions!$I67*#REF!,IF($C$8=Assumptions!$J$30,Assumptions!$G67*Assumptions!$J67*#REF!,IF($C$8=Assumptions!$K$30,Assumptions!$G67*Assumptions!$K67*#REF!,Assumptions!$G67*Assumptions!$L67*#REF!)))</f>
        <v>#REF!</v>
      </c>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row>
    <row r="218" spans="1:69" s="6" customFormat="1" x14ac:dyDescent="0.35">
      <c r="A218" s="6">
        <f t="shared" ca="1" si="7"/>
        <v>2063</v>
      </c>
      <c r="C218" s="16" t="e">
        <f>IF($C$8=Assumptions!$I$30,Assumptions!E68*Assumptions!$I68*#REF!,IF($C$8=Assumptions!$J$30,Assumptions!E68*Assumptions!$J68*#REF!,IF($C$8=Assumptions!$K$30,Assumptions!E68*Assumptions!$K68*#REF!,Assumptions!E68*Assumptions!$L68*#REF!)))</f>
        <v>#REF!</v>
      </c>
      <c r="D218" s="16" t="e">
        <f>IF($C$8=Assumptions!$I$30,Assumptions!F68*Assumptions!$I68*#REF!,IF($C$8=Assumptions!$J$30,Assumptions!F68*Assumptions!$J68*#REF!,IF($C$8=Assumptions!$K$30,Assumptions!F68*Assumptions!$K68*#REF!,Assumptions!F68*Assumptions!$L68*#REF!)))</f>
        <v>#REF!</v>
      </c>
      <c r="E218" s="16" t="e">
        <f>IF($C$8=Assumptions!$I$30,Assumptions!$G68*Assumptions!$I68*#REF!,IF($C$8=Assumptions!$J$30,Assumptions!$G68*Assumptions!$J68*#REF!,IF($C$8=Assumptions!$K$30,Assumptions!$G68*Assumptions!$K68*#REF!,Assumptions!$G68*Assumptions!$L68*#REF!)))</f>
        <v>#REF!</v>
      </c>
      <c r="F218" s="16" t="e">
        <f>IF($C$8=Assumptions!$I$30,Assumptions!$G68*Assumptions!$I68*#REF!,IF($C$8=Assumptions!$J$30,Assumptions!$G68*Assumptions!$J68*#REF!,IF($C$8=Assumptions!$K$30,Assumptions!$G68*Assumptions!$K68*#REF!,Assumptions!$G68*Assumptions!$L68*#REF!)))</f>
        <v>#REF!</v>
      </c>
      <c r="G218" s="16" t="e">
        <f>IF($C$8=Assumptions!$I$30,Assumptions!$G68*Assumptions!$I68*#REF!,IF($C$8=Assumptions!$J$30,Assumptions!$G68*Assumptions!$J68*#REF!,IF($C$8=Assumptions!$K$30,Assumptions!$G68*Assumptions!$K68*#REF!,Assumptions!$G68*Assumptions!$L68*#REF!)))</f>
        <v>#REF!</v>
      </c>
      <c r="H218" s="16" t="e">
        <f>IF($C$8=Assumptions!$I$30,Assumptions!$G68*Assumptions!$I68*#REF!,IF($C$8=Assumptions!$J$30,Assumptions!$G68*Assumptions!$J68*#REF!,IF($C$8=Assumptions!$K$30,Assumptions!$G68*Assumptions!$K68*#REF!,Assumptions!$G68*Assumptions!$L68*#REF!)))</f>
        <v>#REF!</v>
      </c>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row>
    <row r="219" spans="1:69" s="6" customFormat="1" x14ac:dyDescent="0.35">
      <c r="A219" s="6">
        <f t="shared" ca="1" si="7"/>
        <v>2064</v>
      </c>
      <c r="C219" s="16" t="e">
        <f>IF($C$8=Assumptions!$I$30,Assumptions!E69*Assumptions!$I69*#REF!,IF($C$8=Assumptions!$J$30,Assumptions!E69*Assumptions!$J69*#REF!,IF($C$8=Assumptions!$K$30,Assumptions!E69*Assumptions!$K69*#REF!,Assumptions!E69*Assumptions!$L69*#REF!)))</f>
        <v>#REF!</v>
      </c>
      <c r="D219" s="16" t="e">
        <f>IF($C$8=Assumptions!$I$30,Assumptions!F69*Assumptions!$I69*#REF!,IF($C$8=Assumptions!$J$30,Assumptions!F69*Assumptions!$J69*#REF!,IF($C$8=Assumptions!$K$30,Assumptions!F69*Assumptions!$K69*#REF!,Assumptions!F69*Assumptions!$L69*#REF!)))</f>
        <v>#REF!</v>
      </c>
      <c r="E219" s="16" t="e">
        <f>IF($C$8=Assumptions!$I$30,Assumptions!$G69*Assumptions!$I69*#REF!,IF($C$8=Assumptions!$J$30,Assumptions!$G69*Assumptions!$J69*#REF!,IF($C$8=Assumptions!$K$30,Assumptions!$G69*Assumptions!$K69*#REF!,Assumptions!$G69*Assumptions!$L69*#REF!)))</f>
        <v>#REF!</v>
      </c>
      <c r="F219" s="16" t="e">
        <f>IF($C$8=Assumptions!$I$30,Assumptions!$G69*Assumptions!$I69*#REF!,IF($C$8=Assumptions!$J$30,Assumptions!$G69*Assumptions!$J69*#REF!,IF($C$8=Assumptions!$K$30,Assumptions!$G69*Assumptions!$K69*#REF!,Assumptions!$G69*Assumptions!$L69*#REF!)))</f>
        <v>#REF!</v>
      </c>
      <c r="G219" s="16" t="e">
        <f>IF($C$8=Assumptions!$I$30,Assumptions!$G69*Assumptions!$I69*#REF!,IF($C$8=Assumptions!$J$30,Assumptions!$G69*Assumptions!$J69*#REF!,IF($C$8=Assumptions!$K$30,Assumptions!$G69*Assumptions!$K69*#REF!,Assumptions!$G69*Assumptions!$L69*#REF!)))</f>
        <v>#REF!</v>
      </c>
      <c r="H219" s="16" t="e">
        <f>IF($C$8=Assumptions!$I$30,Assumptions!$G69*Assumptions!$I69*#REF!,IF($C$8=Assumptions!$J$30,Assumptions!$G69*Assumptions!$J69*#REF!,IF($C$8=Assumptions!$K$30,Assumptions!$G69*Assumptions!$K69*#REF!,Assumptions!$G69*Assumptions!$L69*#REF!)))</f>
        <v>#REF!</v>
      </c>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row>
    <row r="220" spans="1:69" s="6" customFormat="1" x14ac:dyDescent="0.35">
      <c r="A220" s="6">
        <f t="shared" ca="1" si="7"/>
        <v>2065</v>
      </c>
      <c r="C220" s="16" t="e">
        <f>IF($C$8=Assumptions!$I$30,Assumptions!E70*Assumptions!$I70*#REF!,IF($C$8=Assumptions!$J$30,Assumptions!E70*Assumptions!$J70*#REF!,IF($C$8=Assumptions!$K$30,Assumptions!E70*Assumptions!$K70*#REF!,Assumptions!E70*Assumptions!$L70*#REF!)))</f>
        <v>#REF!</v>
      </c>
      <c r="D220" s="16" t="e">
        <f>IF($C$8=Assumptions!$I$30,Assumptions!F70*Assumptions!$I70*#REF!,IF($C$8=Assumptions!$J$30,Assumptions!F70*Assumptions!$J70*#REF!,IF($C$8=Assumptions!$K$30,Assumptions!F70*Assumptions!$K70*#REF!,Assumptions!F70*Assumptions!$L70*#REF!)))</f>
        <v>#REF!</v>
      </c>
      <c r="E220" s="16" t="e">
        <f>IF($C$8=Assumptions!$I$30,Assumptions!$G70*Assumptions!$I70*#REF!,IF($C$8=Assumptions!$J$30,Assumptions!$G70*Assumptions!$J70*#REF!,IF($C$8=Assumptions!$K$30,Assumptions!$G70*Assumptions!$K70*#REF!,Assumptions!$G70*Assumptions!$L70*#REF!)))</f>
        <v>#REF!</v>
      </c>
      <c r="F220" s="16" t="e">
        <f>IF($C$8=Assumptions!$I$30,Assumptions!$G70*Assumptions!$I70*#REF!,IF($C$8=Assumptions!$J$30,Assumptions!$G70*Assumptions!$J70*#REF!,IF($C$8=Assumptions!$K$30,Assumptions!$G70*Assumptions!$K70*#REF!,Assumptions!$G70*Assumptions!$L70*#REF!)))</f>
        <v>#REF!</v>
      </c>
      <c r="G220" s="16" t="e">
        <f>IF($C$8=Assumptions!$I$30,Assumptions!$G70*Assumptions!$I70*#REF!,IF($C$8=Assumptions!$J$30,Assumptions!$G70*Assumptions!$J70*#REF!,IF($C$8=Assumptions!$K$30,Assumptions!$G70*Assumptions!$K70*#REF!,Assumptions!$G70*Assumptions!$L70*#REF!)))</f>
        <v>#REF!</v>
      </c>
      <c r="H220" s="16" t="e">
        <f>IF($C$8=Assumptions!$I$30,Assumptions!$G70*Assumptions!$I70*#REF!,IF($C$8=Assumptions!$J$30,Assumptions!$G70*Assumptions!$J70*#REF!,IF($C$8=Assumptions!$K$30,Assumptions!$G70*Assumptions!$K70*#REF!,Assumptions!$G70*Assumptions!$L70*#REF!)))</f>
        <v>#REF!</v>
      </c>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row>
    <row r="221" spans="1:69" s="6" customFormat="1" x14ac:dyDescent="0.35">
      <c r="A221" s="6">
        <f t="shared" ca="1" si="7"/>
        <v>2066</v>
      </c>
      <c r="C221" s="16" t="e">
        <f>IF($C$8=Assumptions!$I$30,Assumptions!E71*Assumptions!$I71*#REF!,IF($C$8=Assumptions!$J$30,Assumptions!E71*Assumptions!$J71*#REF!,IF($C$8=Assumptions!$K$30,Assumptions!E71*Assumptions!$K71*#REF!,Assumptions!E71*Assumptions!$L71*#REF!)))</f>
        <v>#REF!</v>
      </c>
      <c r="D221" s="16" t="e">
        <f>IF($C$8=Assumptions!$I$30,Assumptions!F71*Assumptions!$I71*#REF!,IF($C$8=Assumptions!$J$30,Assumptions!F71*Assumptions!$J71*#REF!,IF($C$8=Assumptions!$K$30,Assumptions!F71*Assumptions!$K71*#REF!,Assumptions!F71*Assumptions!$L71*#REF!)))</f>
        <v>#REF!</v>
      </c>
      <c r="E221" s="16" t="e">
        <f>IF($C$8=Assumptions!$I$30,Assumptions!$G71*Assumptions!$I71*#REF!,IF($C$8=Assumptions!$J$30,Assumptions!$G71*Assumptions!$J71*#REF!,IF($C$8=Assumptions!$K$30,Assumptions!$G71*Assumptions!$K71*#REF!,Assumptions!$G71*Assumptions!$L71*#REF!)))</f>
        <v>#REF!</v>
      </c>
      <c r="F221" s="16" t="e">
        <f>IF($C$8=Assumptions!$I$30,Assumptions!$G71*Assumptions!$I71*#REF!,IF($C$8=Assumptions!$J$30,Assumptions!$G71*Assumptions!$J71*#REF!,IF($C$8=Assumptions!$K$30,Assumptions!$G71*Assumptions!$K71*#REF!,Assumptions!$G71*Assumptions!$L71*#REF!)))</f>
        <v>#REF!</v>
      </c>
      <c r="G221" s="16" t="e">
        <f>IF($C$8=Assumptions!$I$30,Assumptions!$G71*Assumptions!$I71*#REF!,IF($C$8=Assumptions!$J$30,Assumptions!$G71*Assumptions!$J71*#REF!,IF($C$8=Assumptions!$K$30,Assumptions!$G71*Assumptions!$K71*#REF!,Assumptions!$G71*Assumptions!$L71*#REF!)))</f>
        <v>#REF!</v>
      </c>
      <c r="H221" s="16" t="e">
        <f>IF($C$8=Assumptions!$I$30,Assumptions!$G71*Assumptions!$I71*#REF!,IF($C$8=Assumptions!$J$30,Assumptions!$G71*Assumptions!$J71*#REF!,IF($C$8=Assumptions!$K$30,Assumptions!$G71*Assumptions!$K71*#REF!,Assumptions!$G71*Assumptions!$L71*#REF!)))</f>
        <v>#REF!</v>
      </c>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row>
    <row r="222" spans="1:69" s="6" customFormat="1" x14ac:dyDescent="0.35">
      <c r="A222" s="6">
        <f t="shared" ca="1" si="7"/>
        <v>2067</v>
      </c>
      <c r="C222" s="16" t="e">
        <f>IF($C$8=Assumptions!$I$30,Assumptions!E72*Assumptions!$I72*#REF!,IF($C$8=Assumptions!$J$30,Assumptions!E72*Assumptions!$J72*#REF!,IF($C$8=Assumptions!$K$30,Assumptions!E72*Assumptions!$K72*#REF!,Assumptions!E72*Assumptions!$L72*#REF!)))</f>
        <v>#REF!</v>
      </c>
      <c r="D222" s="16" t="e">
        <f>IF($C$8=Assumptions!$I$30,Assumptions!F72*Assumptions!$I72*#REF!,IF($C$8=Assumptions!$J$30,Assumptions!F72*Assumptions!$J72*#REF!,IF($C$8=Assumptions!$K$30,Assumptions!F72*Assumptions!$K72*#REF!,Assumptions!F72*Assumptions!$L72*#REF!)))</f>
        <v>#REF!</v>
      </c>
      <c r="E222" s="16" t="e">
        <f>IF($C$8=Assumptions!$I$30,Assumptions!$G72*Assumptions!$I72*#REF!,IF($C$8=Assumptions!$J$30,Assumptions!$G72*Assumptions!$J72*#REF!,IF($C$8=Assumptions!$K$30,Assumptions!$G72*Assumptions!$K72*#REF!,Assumptions!$G72*Assumptions!$L72*#REF!)))</f>
        <v>#REF!</v>
      </c>
      <c r="F222" s="16" t="e">
        <f>IF($C$8=Assumptions!$I$30,Assumptions!$G72*Assumptions!$I72*#REF!,IF($C$8=Assumptions!$J$30,Assumptions!$G72*Assumptions!$J72*#REF!,IF($C$8=Assumptions!$K$30,Assumptions!$G72*Assumptions!$K72*#REF!,Assumptions!$G72*Assumptions!$L72*#REF!)))</f>
        <v>#REF!</v>
      </c>
      <c r="G222" s="16" t="e">
        <f>IF($C$8=Assumptions!$I$30,Assumptions!$G72*Assumptions!$I72*#REF!,IF($C$8=Assumptions!$J$30,Assumptions!$G72*Assumptions!$J72*#REF!,IF($C$8=Assumptions!$K$30,Assumptions!$G72*Assumptions!$K72*#REF!,Assumptions!$G72*Assumptions!$L72*#REF!)))</f>
        <v>#REF!</v>
      </c>
      <c r="H222" s="16" t="e">
        <f>IF($C$8=Assumptions!$I$30,Assumptions!$G72*Assumptions!$I72*#REF!,IF($C$8=Assumptions!$J$30,Assumptions!$G72*Assumptions!$J72*#REF!,IF($C$8=Assumptions!$K$30,Assumptions!$G72*Assumptions!$K72*#REF!,Assumptions!$G72*Assumptions!$L72*#REF!)))</f>
        <v>#REF!</v>
      </c>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row>
    <row r="223" spans="1:69" s="6" customFormat="1" x14ac:dyDescent="0.35">
      <c r="A223" s="6">
        <f t="shared" ca="1" si="7"/>
        <v>2068</v>
      </c>
      <c r="C223" s="16" t="e">
        <f>IF($C$8=Assumptions!$I$30,Assumptions!E73*Assumptions!$I73*#REF!,IF($C$8=Assumptions!$J$30,Assumptions!E73*Assumptions!$J73*#REF!,IF($C$8=Assumptions!$K$30,Assumptions!E73*Assumptions!$K73*#REF!,Assumptions!E73*Assumptions!$L73*#REF!)))</f>
        <v>#REF!</v>
      </c>
      <c r="D223" s="16" t="e">
        <f>IF($C$8=Assumptions!$I$30,Assumptions!F73*Assumptions!$I73*#REF!,IF($C$8=Assumptions!$J$30,Assumptions!F73*Assumptions!$J73*#REF!,IF($C$8=Assumptions!$K$30,Assumptions!F73*Assumptions!$K73*#REF!,Assumptions!F73*Assumptions!$L73*#REF!)))</f>
        <v>#REF!</v>
      </c>
      <c r="E223" s="16" t="e">
        <f>IF($C$8=Assumptions!$I$30,Assumptions!$G73*Assumptions!$I73*#REF!,IF($C$8=Assumptions!$J$30,Assumptions!$G73*Assumptions!$J73*#REF!,IF($C$8=Assumptions!$K$30,Assumptions!$G73*Assumptions!$K73*#REF!,Assumptions!$G73*Assumptions!$L73*#REF!)))</f>
        <v>#REF!</v>
      </c>
      <c r="F223" s="16" t="e">
        <f>IF($C$8=Assumptions!$I$30,Assumptions!$G73*Assumptions!$I73*#REF!,IF($C$8=Assumptions!$J$30,Assumptions!$G73*Assumptions!$J73*#REF!,IF($C$8=Assumptions!$K$30,Assumptions!$G73*Assumptions!$K73*#REF!,Assumptions!$G73*Assumptions!$L73*#REF!)))</f>
        <v>#REF!</v>
      </c>
      <c r="G223" s="16" t="e">
        <f>IF($C$8=Assumptions!$I$30,Assumptions!$G73*Assumptions!$I73*#REF!,IF($C$8=Assumptions!$J$30,Assumptions!$G73*Assumptions!$J73*#REF!,IF($C$8=Assumptions!$K$30,Assumptions!$G73*Assumptions!$K73*#REF!,Assumptions!$G73*Assumptions!$L73*#REF!)))</f>
        <v>#REF!</v>
      </c>
      <c r="H223" s="16" t="e">
        <f>IF($C$8=Assumptions!$I$30,Assumptions!$G73*Assumptions!$I73*#REF!,IF($C$8=Assumptions!$J$30,Assumptions!$G73*Assumptions!$J73*#REF!,IF($C$8=Assumptions!$K$30,Assumptions!$G73*Assumptions!$K73*#REF!,Assumptions!$G73*Assumptions!$L73*#REF!)))</f>
        <v>#REF!</v>
      </c>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row>
    <row r="224" spans="1:69" s="6" customFormat="1" x14ac:dyDescent="0.35">
      <c r="A224" s="6">
        <f t="shared" ca="1" si="7"/>
        <v>2069</v>
      </c>
      <c r="C224" s="16" t="e">
        <f>IF($C$8=Assumptions!$I$30,Assumptions!E74*Assumptions!$I74*#REF!,IF($C$8=Assumptions!$J$30,Assumptions!E74*Assumptions!$J74*#REF!,IF($C$8=Assumptions!$K$30,Assumptions!E74*Assumptions!$K74*#REF!,Assumptions!E74*Assumptions!$L74*#REF!)))</f>
        <v>#REF!</v>
      </c>
      <c r="D224" s="16" t="e">
        <f>IF($C$8=Assumptions!$I$30,Assumptions!F74*Assumptions!$I74*#REF!,IF($C$8=Assumptions!$J$30,Assumptions!F74*Assumptions!$J74*#REF!,IF($C$8=Assumptions!$K$30,Assumptions!F74*Assumptions!$K74*#REF!,Assumptions!F74*Assumptions!$L74*#REF!)))</f>
        <v>#REF!</v>
      </c>
      <c r="E224" s="16" t="e">
        <f>IF($C$8=Assumptions!$I$30,Assumptions!$G74*Assumptions!$I74*#REF!,IF($C$8=Assumptions!$J$30,Assumptions!$G74*Assumptions!$J74*#REF!,IF($C$8=Assumptions!$K$30,Assumptions!$G74*Assumptions!$K74*#REF!,Assumptions!$G74*Assumptions!$L74*#REF!)))</f>
        <v>#REF!</v>
      </c>
      <c r="F224" s="16" t="e">
        <f>IF($C$8=Assumptions!$I$30,Assumptions!$G74*Assumptions!$I74*#REF!,IF($C$8=Assumptions!$J$30,Assumptions!$G74*Assumptions!$J74*#REF!,IF($C$8=Assumptions!$K$30,Assumptions!$G74*Assumptions!$K74*#REF!,Assumptions!$G74*Assumptions!$L74*#REF!)))</f>
        <v>#REF!</v>
      </c>
      <c r="G224" s="16" t="e">
        <f>IF($C$8=Assumptions!$I$30,Assumptions!$G74*Assumptions!$I74*#REF!,IF($C$8=Assumptions!$J$30,Assumptions!$G74*Assumptions!$J74*#REF!,IF($C$8=Assumptions!$K$30,Assumptions!$G74*Assumptions!$K74*#REF!,Assumptions!$G74*Assumptions!$L74*#REF!)))</f>
        <v>#REF!</v>
      </c>
      <c r="H224" s="16" t="e">
        <f>IF($C$8=Assumptions!$I$30,Assumptions!$G74*Assumptions!$I74*#REF!,IF($C$8=Assumptions!$J$30,Assumptions!$G74*Assumptions!$J74*#REF!,IF($C$8=Assumptions!$K$30,Assumptions!$G74*Assumptions!$K74*#REF!,Assumptions!$G74*Assumptions!$L74*#REF!)))</f>
        <v>#REF!</v>
      </c>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row>
    <row r="225" spans="1:69" s="6" customFormat="1" x14ac:dyDescent="0.35">
      <c r="A225" s="6">
        <f t="shared" ca="1" si="7"/>
        <v>2070</v>
      </c>
      <c r="C225" s="16" t="e">
        <f>IF($C$8=Assumptions!$I$30,Assumptions!E75*Assumptions!$I75*#REF!,IF($C$8=Assumptions!$J$30,Assumptions!E75*Assumptions!$J75*#REF!,IF($C$8=Assumptions!$K$30,Assumptions!E75*Assumptions!$K75*#REF!,Assumptions!E75*Assumptions!$L75*#REF!)))</f>
        <v>#REF!</v>
      </c>
      <c r="D225" s="16" t="e">
        <f>IF($C$8=Assumptions!$I$30,Assumptions!F75*Assumptions!$I75*#REF!,IF($C$8=Assumptions!$J$30,Assumptions!F75*Assumptions!$J75*#REF!,IF($C$8=Assumptions!$K$30,Assumptions!F75*Assumptions!$K75*#REF!,Assumptions!F75*Assumptions!$L75*#REF!)))</f>
        <v>#REF!</v>
      </c>
      <c r="E225" s="16" t="e">
        <f>IF($C$8=Assumptions!$I$30,Assumptions!$G75*Assumptions!$I75*#REF!,IF($C$8=Assumptions!$J$30,Assumptions!$G75*Assumptions!$J75*#REF!,IF($C$8=Assumptions!$K$30,Assumptions!$G75*Assumptions!$K75*#REF!,Assumptions!$G75*Assumptions!$L75*#REF!)))</f>
        <v>#REF!</v>
      </c>
      <c r="F225" s="16" t="e">
        <f>IF($C$8=Assumptions!$I$30,Assumptions!$G75*Assumptions!$I75*#REF!,IF($C$8=Assumptions!$J$30,Assumptions!$G75*Assumptions!$J75*#REF!,IF($C$8=Assumptions!$K$30,Assumptions!$G75*Assumptions!$K75*#REF!,Assumptions!$G75*Assumptions!$L75*#REF!)))</f>
        <v>#REF!</v>
      </c>
      <c r="G225" s="16" t="e">
        <f>IF($C$8=Assumptions!$I$30,Assumptions!$G75*Assumptions!$I75*#REF!,IF($C$8=Assumptions!$J$30,Assumptions!$G75*Assumptions!$J75*#REF!,IF($C$8=Assumptions!$K$30,Assumptions!$G75*Assumptions!$K75*#REF!,Assumptions!$G75*Assumptions!$L75*#REF!)))</f>
        <v>#REF!</v>
      </c>
      <c r="H225" s="16" t="e">
        <f>IF($C$8=Assumptions!$I$30,Assumptions!$G75*Assumptions!$I75*#REF!,IF($C$8=Assumptions!$J$30,Assumptions!$G75*Assumptions!$J75*#REF!,IF($C$8=Assumptions!$K$30,Assumptions!$G75*Assumptions!$K75*#REF!,Assumptions!$G75*Assumptions!$L75*#REF!)))</f>
        <v>#REF!</v>
      </c>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row>
    <row r="226" spans="1:69" s="6" customFormat="1" x14ac:dyDescent="0.35">
      <c r="A226" s="6">
        <f t="shared" ca="1" si="7"/>
        <v>2071</v>
      </c>
      <c r="C226" s="16" t="e">
        <f>IF($C$8=Assumptions!$I$30,Assumptions!E76*Assumptions!$I76*#REF!,IF($C$8=Assumptions!$J$30,Assumptions!E76*Assumptions!$J76*#REF!,IF($C$8=Assumptions!$K$30,Assumptions!E76*Assumptions!$K76*#REF!,Assumptions!E76*Assumptions!$L76*#REF!)))</f>
        <v>#REF!</v>
      </c>
      <c r="D226" s="16" t="e">
        <f>IF($C$8=Assumptions!$I$30,Assumptions!F76*Assumptions!$I76*#REF!,IF($C$8=Assumptions!$J$30,Assumptions!F76*Assumptions!$J76*#REF!,IF($C$8=Assumptions!$K$30,Assumptions!F76*Assumptions!$K76*#REF!,Assumptions!F76*Assumptions!$L76*#REF!)))</f>
        <v>#REF!</v>
      </c>
      <c r="E226" s="16" t="e">
        <f>IF($C$8=Assumptions!$I$30,Assumptions!$G76*Assumptions!$I76*#REF!,IF($C$8=Assumptions!$J$30,Assumptions!$G76*Assumptions!$J76*#REF!,IF($C$8=Assumptions!$K$30,Assumptions!$G76*Assumptions!$K76*#REF!,Assumptions!$G76*Assumptions!$L76*#REF!)))</f>
        <v>#REF!</v>
      </c>
      <c r="F226" s="16" t="e">
        <f>IF($C$8=Assumptions!$I$30,Assumptions!$G76*Assumptions!$I76*#REF!,IF($C$8=Assumptions!$J$30,Assumptions!$G76*Assumptions!$J76*#REF!,IF($C$8=Assumptions!$K$30,Assumptions!$G76*Assumptions!$K76*#REF!,Assumptions!$G76*Assumptions!$L76*#REF!)))</f>
        <v>#REF!</v>
      </c>
      <c r="G226" s="16" t="e">
        <f>IF($C$8=Assumptions!$I$30,Assumptions!$G76*Assumptions!$I76*#REF!,IF($C$8=Assumptions!$J$30,Assumptions!$G76*Assumptions!$J76*#REF!,IF($C$8=Assumptions!$K$30,Assumptions!$G76*Assumptions!$K76*#REF!,Assumptions!$G76*Assumptions!$L76*#REF!)))</f>
        <v>#REF!</v>
      </c>
      <c r="H226" s="16" t="e">
        <f>IF($C$8=Assumptions!$I$30,Assumptions!$G76*Assumptions!$I76*#REF!,IF($C$8=Assumptions!$J$30,Assumptions!$G76*Assumptions!$J76*#REF!,IF($C$8=Assumptions!$K$30,Assumptions!$G76*Assumptions!$K76*#REF!,Assumptions!$G76*Assumptions!$L76*#REF!)))</f>
        <v>#REF!</v>
      </c>
      <c r="I226"/>
      <c r="J226"/>
      <c r="K226"/>
      <c r="L226"/>
      <c r="M226"/>
      <c r="N226"/>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row>
    <row r="227" spans="1:69" s="6" customFormat="1" x14ac:dyDescent="0.35">
      <c r="A227" s="6">
        <f t="shared" ca="1" si="7"/>
        <v>2072</v>
      </c>
      <c r="C227" s="16" t="e">
        <f>IF($C$8=Assumptions!$I$30,Assumptions!E77*Assumptions!$I77*#REF!,IF($C$8=Assumptions!$J$30,Assumptions!E77*Assumptions!$J77*#REF!,IF($C$8=Assumptions!$K$30,Assumptions!E77*Assumptions!$K77*#REF!,Assumptions!E77*Assumptions!$L77*#REF!)))</f>
        <v>#REF!</v>
      </c>
      <c r="D227" s="16" t="e">
        <f>IF($C$8=Assumptions!$I$30,Assumptions!F77*Assumptions!$I77*#REF!,IF($C$8=Assumptions!$J$30,Assumptions!F77*Assumptions!$J77*#REF!,IF($C$8=Assumptions!$K$30,Assumptions!F77*Assumptions!$K77*#REF!,Assumptions!F77*Assumptions!$L77*#REF!)))</f>
        <v>#REF!</v>
      </c>
      <c r="E227" s="16" t="e">
        <f>IF($C$8=Assumptions!$I$30,Assumptions!$G77*Assumptions!$I77*#REF!,IF($C$8=Assumptions!$J$30,Assumptions!$G77*Assumptions!$J77*#REF!,IF($C$8=Assumptions!$K$30,Assumptions!$G77*Assumptions!$K77*#REF!,Assumptions!$G77*Assumptions!$L77*#REF!)))</f>
        <v>#REF!</v>
      </c>
      <c r="F227" s="16" t="e">
        <f>IF($C$8=Assumptions!$I$30,Assumptions!$G77*Assumptions!$I77*#REF!,IF($C$8=Assumptions!$J$30,Assumptions!$G77*Assumptions!$J77*#REF!,IF($C$8=Assumptions!$K$30,Assumptions!$G77*Assumptions!$K77*#REF!,Assumptions!$G77*Assumptions!$L77*#REF!)))</f>
        <v>#REF!</v>
      </c>
      <c r="G227" s="16" t="e">
        <f>IF($C$8=Assumptions!$I$30,Assumptions!$G77*Assumptions!$I77*#REF!,IF($C$8=Assumptions!$J$30,Assumptions!$G77*Assumptions!$J77*#REF!,IF($C$8=Assumptions!$K$30,Assumptions!$G77*Assumptions!$K77*#REF!,Assumptions!$G77*Assumptions!$L77*#REF!)))</f>
        <v>#REF!</v>
      </c>
      <c r="H227" s="16" t="e">
        <f>IF($C$8=Assumptions!$I$30,Assumptions!$G77*Assumptions!$I77*#REF!,IF($C$8=Assumptions!$J$30,Assumptions!$G77*Assumptions!$J77*#REF!,IF($C$8=Assumptions!$K$30,Assumptions!$G77*Assumptions!$K77*#REF!,Assumptions!$G77*Assumptions!$L77*#REF!)))</f>
        <v>#REF!</v>
      </c>
      <c r="I227"/>
      <c r="J227"/>
      <c r="K227"/>
      <c r="L227"/>
      <c r="M227"/>
      <c r="N227"/>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row>
    <row r="228" spans="1:69" s="6" customFormat="1" x14ac:dyDescent="0.35">
      <c r="A228" s="6">
        <f t="shared" ca="1" si="7"/>
        <v>2073</v>
      </c>
      <c r="C228" s="16" t="e">
        <f>IF($C$8=Assumptions!$I$30,Assumptions!E78*Assumptions!$I78*#REF!,IF($C$8=Assumptions!$J$30,Assumptions!E78*Assumptions!$J78*#REF!,IF($C$8=Assumptions!$K$30,Assumptions!E78*Assumptions!$K78*#REF!,Assumptions!E78*Assumptions!$L78*#REF!)))</f>
        <v>#REF!</v>
      </c>
      <c r="D228" s="16" t="e">
        <f>IF($C$8=Assumptions!$I$30,Assumptions!F78*Assumptions!$I78*#REF!,IF($C$8=Assumptions!$J$30,Assumptions!F78*Assumptions!$J78*#REF!,IF($C$8=Assumptions!$K$30,Assumptions!F78*Assumptions!$K78*#REF!,Assumptions!F78*Assumptions!$L78*#REF!)))</f>
        <v>#REF!</v>
      </c>
      <c r="E228" s="16" t="e">
        <f>IF($C$8=Assumptions!$I$30,Assumptions!$G78*Assumptions!$I78*#REF!,IF($C$8=Assumptions!$J$30,Assumptions!$G78*Assumptions!$J78*#REF!,IF($C$8=Assumptions!$K$30,Assumptions!$G78*Assumptions!$K78*#REF!,Assumptions!$G78*Assumptions!$L78*#REF!)))</f>
        <v>#REF!</v>
      </c>
      <c r="F228" s="16" t="e">
        <f>IF($C$8=Assumptions!$I$30,Assumptions!$G78*Assumptions!$I78*#REF!,IF($C$8=Assumptions!$J$30,Assumptions!$G78*Assumptions!$J78*#REF!,IF($C$8=Assumptions!$K$30,Assumptions!$G78*Assumptions!$K78*#REF!,Assumptions!$G78*Assumptions!$L78*#REF!)))</f>
        <v>#REF!</v>
      </c>
      <c r="G228" s="16" t="e">
        <f>IF($C$8=Assumptions!$I$30,Assumptions!$G78*Assumptions!$I78*#REF!,IF($C$8=Assumptions!$J$30,Assumptions!$G78*Assumptions!$J78*#REF!,IF($C$8=Assumptions!$K$30,Assumptions!$G78*Assumptions!$K78*#REF!,Assumptions!$G78*Assumptions!$L78*#REF!)))</f>
        <v>#REF!</v>
      </c>
      <c r="H228" s="16" t="e">
        <f>IF($C$8=Assumptions!$I$30,Assumptions!$G78*Assumptions!$I78*#REF!,IF($C$8=Assumptions!$J$30,Assumptions!$G78*Assumptions!$J78*#REF!,IF($C$8=Assumptions!$K$30,Assumptions!$G78*Assumptions!$K78*#REF!,Assumptions!$G78*Assumptions!$L78*#REF!)))</f>
        <v>#REF!</v>
      </c>
      <c r="I228"/>
      <c r="J228"/>
      <c r="K228"/>
      <c r="L228"/>
      <c r="M228"/>
      <c r="N2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row>
    <row r="229" spans="1:69" s="6" customFormat="1" x14ac:dyDescent="0.35">
      <c r="A229" s="6">
        <f t="shared" ca="1" si="7"/>
        <v>2074</v>
      </c>
      <c r="C229" s="16" t="e">
        <f>IF($C$8=Assumptions!$I$30,Assumptions!E79*Assumptions!$I79*#REF!,IF($C$8=Assumptions!$J$30,Assumptions!E79*Assumptions!$J79*#REF!,IF($C$8=Assumptions!$K$30,Assumptions!E79*Assumptions!$K79*#REF!,Assumptions!E79*Assumptions!$L79*#REF!)))</f>
        <v>#REF!</v>
      </c>
      <c r="D229" s="16" t="e">
        <f>IF($C$8=Assumptions!$I$30,Assumptions!F79*Assumptions!$I79*#REF!,IF($C$8=Assumptions!$J$30,Assumptions!F79*Assumptions!$J79*#REF!,IF($C$8=Assumptions!$K$30,Assumptions!F79*Assumptions!$K79*#REF!,Assumptions!F79*Assumptions!$L79*#REF!)))</f>
        <v>#REF!</v>
      </c>
      <c r="E229" s="16" t="e">
        <f>IF($C$8=Assumptions!$I$30,Assumptions!$G79*Assumptions!$I79*#REF!,IF($C$8=Assumptions!$J$30,Assumptions!$G79*Assumptions!$J79*#REF!,IF($C$8=Assumptions!$K$30,Assumptions!$G79*Assumptions!$K79*#REF!,Assumptions!$G79*Assumptions!$L79*#REF!)))</f>
        <v>#REF!</v>
      </c>
      <c r="F229" s="16" t="e">
        <f>IF($C$8=Assumptions!$I$30,Assumptions!$G79*Assumptions!$I79*#REF!,IF($C$8=Assumptions!$J$30,Assumptions!$G79*Assumptions!$J79*#REF!,IF($C$8=Assumptions!$K$30,Assumptions!$G79*Assumptions!$K79*#REF!,Assumptions!$G79*Assumptions!$L79*#REF!)))</f>
        <v>#REF!</v>
      </c>
      <c r="G229" s="16" t="e">
        <f>IF($C$8=Assumptions!$I$30,Assumptions!$G79*Assumptions!$I79*#REF!,IF($C$8=Assumptions!$J$30,Assumptions!$G79*Assumptions!$J79*#REF!,IF($C$8=Assumptions!$K$30,Assumptions!$G79*Assumptions!$K79*#REF!,Assumptions!$G79*Assumptions!$L79*#REF!)))</f>
        <v>#REF!</v>
      </c>
      <c r="H229" s="16" t="e">
        <f>IF($C$8=Assumptions!$I$30,Assumptions!$G79*Assumptions!$I79*#REF!,IF($C$8=Assumptions!$J$30,Assumptions!$G79*Assumptions!$J79*#REF!,IF($C$8=Assumptions!$K$30,Assumptions!$G79*Assumptions!$K79*#REF!,Assumptions!$G79*Assumptions!$L79*#REF!)))</f>
        <v>#REF!</v>
      </c>
      <c r="I229"/>
      <c r="J229"/>
      <c r="K229"/>
      <c r="L229"/>
      <c r="M229"/>
      <c r="N229"/>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row>
    <row r="230" spans="1:69" s="6" customFormat="1" x14ac:dyDescent="0.35">
      <c r="A230" s="6">
        <f t="shared" ca="1" si="7"/>
        <v>2075</v>
      </c>
      <c r="C230" s="16" t="e">
        <f>IF($C$8=Assumptions!$I$30,Assumptions!E80*Assumptions!$I80*#REF!,IF($C$8=Assumptions!$J$30,Assumptions!E80*Assumptions!$J80*#REF!,IF($C$8=Assumptions!$K$30,Assumptions!E80*Assumptions!$K80*#REF!,Assumptions!E80*Assumptions!$L80*#REF!)))</f>
        <v>#REF!</v>
      </c>
      <c r="D230" s="16" t="e">
        <f>IF($C$8=Assumptions!$I$30,Assumptions!F80*Assumptions!$I80*#REF!,IF($C$8=Assumptions!$J$30,Assumptions!F80*Assumptions!$J80*#REF!,IF($C$8=Assumptions!$K$30,Assumptions!F80*Assumptions!$K80*#REF!,Assumptions!F80*Assumptions!$L80*#REF!)))</f>
        <v>#REF!</v>
      </c>
      <c r="E230" s="16" t="e">
        <f>IF($C$8=Assumptions!$I$30,Assumptions!$G80*Assumptions!$I80*#REF!,IF($C$8=Assumptions!$J$30,Assumptions!$G80*Assumptions!$J80*#REF!,IF($C$8=Assumptions!$K$30,Assumptions!$G80*Assumptions!$K80*#REF!,Assumptions!$G80*Assumptions!$L80*#REF!)))</f>
        <v>#REF!</v>
      </c>
      <c r="F230" s="16" t="e">
        <f>IF($C$8=Assumptions!$I$30,Assumptions!$G80*Assumptions!$I80*#REF!,IF($C$8=Assumptions!$J$30,Assumptions!$G80*Assumptions!$J80*#REF!,IF($C$8=Assumptions!$K$30,Assumptions!$G80*Assumptions!$K80*#REF!,Assumptions!$G80*Assumptions!$L80*#REF!)))</f>
        <v>#REF!</v>
      </c>
      <c r="G230" s="16" t="e">
        <f>IF($C$8=Assumptions!$I$30,Assumptions!$G80*Assumptions!$I80*#REF!,IF($C$8=Assumptions!$J$30,Assumptions!$G80*Assumptions!$J80*#REF!,IF($C$8=Assumptions!$K$30,Assumptions!$G80*Assumptions!$K80*#REF!,Assumptions!$G80*Assumptions!$L80*#REF!)))</f>
        <v>#REF!</v>
      </c>
      <c r="H230" s="16" t="e">
        <f>IF($C$8=Assumptions!$I$30,Assumptions!$G80*Assumptions!$I80*#REF!,IF($C$8=Assumptions!$J$30,Assumptions!$G80*Assumptions!$J80*#REF!,IF($C$8=Assumptions!$K$30,Assumptions!$G80*Assumptions!$K80*#REF!,Assumptions!$G80*Assumptions!$L80*#REF!)))</f>
        <v>#REF!</v>
      </c>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row>
    <row r="231" spans="1:69" s="6" customFormat="1" x14ac:dyDescent="0.35">
      <c r="A231" s="156" t="s">
        <v>279</v>
      </c>
      <c r="B231" s="156"/>
      <c r="C231" s="152"/>
      <c r="D231" s="152"/>
      <c r="E231" s="152"/>
      <c r="F231" s="152"/>
      <c r="G231" s="152"/>
      <c r="H231" s="152"/>
      <c r="I231"/>
      <c r="J231"/>
      <c r="K231"/>
      <c r="L231"/>
      <c r="M231"/>
      <c r="N231"/>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row>
    <row r="232" spans="1:69" s="6" customFormat="1" x14ac:dyDescent="0.35">
      <c r="A232" s="2">
        <f ca="1">YEAR(TODAY())</f>
        <v>2025</v>
      </c>
      <c r="B232" s="6">
        <v>0</v>
      </c>
      <c r="C232" s="123"/>
      <c r="D232" s="16">
        <f>IF('Investment results'!$D$13=Assumptions!$B$106,IF($B232=Assumptions!$E$27,Assumptions!$O$19,0),IF('Investment results'!$D$13=Assumptions!$B$105,IF($B232=Assumptions!$E$27,Assumptions!$N$19,0),IF('Investment results'!$D$13=Assumptions!$B$107,IF($B232=Assumptions!$E$27,Assumptions!$P$19,0))))</f>
        <v>0</v>
      </c>
      <c r="E232" s="16"/>
      <c r="F232" s="16"/>
      <c r="G232" s="16"/>
      <c r="H232" s="16"/>
      <c r="I23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row>
    <row r="233" spans="1:69" s="6" customFormat="1" x14ac:dyDescent="0.35">
      <c r="A233" s="6">
        <f ca="1">A232+1</f>
        <v>2026</v>
      </c>
      <c r="B233" s="6">
        <f>B232+1</f>
        <v>1</v>
      </c>
      <c r="C233" s="16"/>
      <c r="D233" s="16">
        <f>IF('Investment results'!$D$13=Assumptions!$B$106,IF($B233=Assumptions!$E$27,Assumptions!$O$19,0),IF('Investment results'!$D$13=Assumptions!$B$105,IF($B233=Assumptions!$E$27,Assumptions!$N$19,0),IF('Investment results'!$D$13=Assumptions!$B$107,IF($B233=Assumptions!$E$27,Assumptions!$P$19,0))))</f>
        <v>0</v>
      </c>
      <c r="E233" s="16"/>
      <c r="F233" s="16"/>
      <c r="G233" s="16"/>
      <c r="H233" s="16"/>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row>
    <row r="234" spans="1:69" s="6" customFormat="1" x14ac:dyDescent="0.35">
      <c r="A234" s="6">
        <f t="shared" ref="A234:B282" ca="1" si="8">A233+1</f>
        <v>2027</v>
      </c>
      <c r="B234" s="6">
        <f t="shared" si="8"/>
        <v>2</v>
      </c>
      <c r="C234" s="16"/>
      <c r="D234" s="16">
        <f>IF('Investment results'!$D$13=Assumptions!$B$106,IF($B234=Assumptions!$E$27,Assumptions!$O$19,0),IF('Investment results'!$D$13=Assumptions!$B$105,IF($B234=Assumptions!$E$27,Assumptions!$N$19,0),IF('Investment results'!$D$13=Assumptions!$B$107,IF($B234=Assumptions!$E$27,Assumptions!$P$19,0))))</f>
        <v>0</v>
      </c>
      <c r="E234" s="16"/>
      <c r="F234" s="16"/>
      <c r="G234" s="16"/>
      <c r="H234" s="16"/>
      <c r="I234"/>
      <c r="J234"/>
      <c r="K234"/>
      <c r="L234"/>
      <c r="M234"/>
      <c r="N234"/>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row>
    <row r="235" spans="1:69" s="6" customFormat="1" x14ac:dyDescent="0.35">
      <c r="A235" s="6">
        <f t="shared" ca="1" si="8"/>
        <v>2028</v>
      </c>
      <c r="B235" s="6">
        <f t="shared" si="8"/>
        <v>3</v>
      </c>
      <c r="C235" s="16"/>
      <c r="D235" s="16">
        <f>IF('Investment results'!$D$13=Assumptions!$B$106,IF($B235=Assumptions!$E$27,Assumptions!$O$19,0),IF('Investment results'!$D$13=Assumptions!$B$105,IF($B235=Assumptions!$E$27,Assumptions!$N$19,0),IF('Investment results'!$D$13=Assumptions!$B$107,IF($B235=Assumptions!$E$27,Assumptions!$P$19,0))))</f>
        <v>0</v>
      </c>
      <c r="E235" s="16"/>
      <c r="F235" s="16"/>
      <c r="G235" s="16"/>
      <c r="H235" s="16"/>
      <c r="I235"/>
      <c r="J235"/>
      <c r="K235"/>
      <c r="L235"/>
      <c r="M235"/>
      <c r="N235"/>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row>
    <row r="236" spans="1:69" s="6" customFormat="1" x14ac:dyDescent="0.35">
      <c r="A236" s="6">
        <f t="shared" ca="1" si="8"/>
        <v>2029</v>
      </c>
      <c r="B236" s="6">
        <f t="shared" si="8"/>
        <v>4</v>
      </c>
      <c r="C236" s="16"/>
      <c r="D236" s="16">
        <f>IF('Investment results'!$D$13=Assumptions!$B$106,IF($B236=Assumptions!$E$27,Assumptions!$O$19,0),IF('Investment results'!$D$13=Assumptions!$B$105,IF($B236=Assumptions!$E$27,Assumptions!$N$19,0),IF('Investment results'!$D$13=Assumptions!$B$107,IF($B236=Assumptions!$E$27,Assumptions!$P$19,0))))</f>
        <v>0</v>
      </c>
      <c r="E236" s="16"/>
      <c r="F236" s="16"/>
      <c r="G236" s="16"/>
      <c r="H236" s="16"/>
      <c r="I236"/>
      <c r="J236"/>
      <c r="K236"/>
      <c r="L236"/>
      <c r="M236"/>
      <c r="N236"/>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row>
    <row r="237" spans="1:69" s="6" customFormat="1" x14ac:dyDescent="0.35">
      <c r="A237" s="6">
        <f t="shared" ca="1" si="8"/>
        <v>2030</v>
      </c>
      <c r="B237" s="6">
        <f t="shared" si="8"/>
        <v>5</v>
      </c>
      <c r="C237" s="16"/>
      <c r="D237" s="16">
        <f>IF('Investment results'!$D$13=Assumptions!$B$106,IF($B237=Assumptions!$E$27,Assumptions!$O$19,0),IF('Investment results'!$D$13=Assumptions!$B$105,IF($B237=Assumptions!$E$27,Assumptions!$N$19,0),IF('Investment results'!$D$13=Assumptions!$B$107,IF($B237=Assumptions!$E$27,Assumptions!$P$19,0))))</f>
        <v>0</v>
      </c>
      <c r="E237" s="16"/>
      <c r="F237" s="16"/>
      <c r="G237" s="16"/>
      <c r="H237" s="16"/>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row>
    <row r="238" spans="1:69" s="6" customFormat="1" x14ac:dyDescent="0.35">
      <c r="A238" s="6">
        <f t="shared" ca="1" si="8"/>
        <v>2031</v>
      </c>
      <c r="B238" s="6">
        <f t="shared" si="8"/>
        <v>6</v>
      </c>
      <c r="C238" s="16"/>
      <c r="D238" s="16">
        <f>IF('Investment results'!$D$13=Assumptions!$B$106,IF($B238=Assumptions!$E$27,Assumptions!$O$19,0),IF('Investment results'!$D$13=Assumptions!$B$105,IF($B238=Assumptions!$E$27,Assumptions!$N$19,0),IF('Investment results'!$D$13=Assumptions!$B$107,IF($B238=Assumptions!$E$27,Assumptions!$P$19,0))))</f>
        <v>0</v>
      </c>
      <c r="E238" s="16"/>
      <c r="F238" s="16"/>
      <c r="G238" s="16"/>
      <c r="H238" s="16"/>
      <c r="I238"/>
      <c r="J238"/>
      <c r="K238"/>
      <c r="L238"/>
      <c r="M238"/>
      <c r="N238"/>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row>
    <row r="239" spans="1:69" s="6" customFormat="1" x14ac:dyDescent="0.35">
      <c r="A239" s="6">
        <f t="shared" ca="1" si="8"/>
        <v>2032</v>
      </c>
      <c r="B239" s="6">
        <f t="shared" si="8"/>
        <v>7</v>
      </c>
      <c r="C239" s="16"/>
      <c r="D239" s="16">
        <f>IF('Investment results'!$D$13=Assumptions!$B$106,IF($B239=Assumptions!$E$27,Assumptions!$O$19,0),IF('Investment results'!$D$13=Assumptions!$B$105,IF($B239=Assumptions!$E$27,Assumptions!$N$19,0),IF('Investment results'!$D$13=Assumptions!$B$107,IF($B239=Assumptions!$E$27,Assumptions!$P$19,0))))</f>
        <v>0</v>
      </c>
      <c r="E239" s="16"/>
      <c r="F239" s="16"/>
      <c r="G239" s="16"/>
      <c r="H239" s="16"/>
      <c r="I239"/>
      <c r="J239"/>
      <c r="K239"/>
      <c r="L239"/>
      <c r="M239"/>
      <c r="N23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row>
    <row r="240" spans="1:69" s="6" customFormat="1" x14ac:dyDescent="0.35">
      <c r="A240" s="6">
        <f t="shared" ca="1" si="8"/>
        <v>2033</v>
      </c>
      <c r="B240" s="6">
        <f t="shared" si="8"/>
        <v>8</v>
      </c>
      <c r="C240" s="16"/>
      <c r="D240" s="16">
        <f>IF('Investment results'!$D$13=Assumptions!$B$106,IF($B240=Assumptions!$E$27,Assumptions!$O$19,0),IF('Investment results'!$D$13=Assumptions!$B$105,IF($B240=Assumptions!$E$27,Assumptions!$N$19,0),IF('Investment results'!$D$13=Assumptions!$B$107,IF($B240=Assumptions!$E$27,Assumptions!$P$19,0))))</f>
        <v>0</v>
      </c>
      <c r="E240" s="16"/>
      <c r="F240" s="16"/>
      <c r="G240" s="16"/>
      <c r="H240" s="16"/>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row>
    <row r="241" spans="1:69" s="6" customFormat="1" x14ac:dyDescent="0.35">
      <c r="A241" s="6">
        <f t="shared" ca="1" si="8"/>
        <v>2034</v>
      </c>
      <c r="B241" s="6">
        <f t="shared" si="8"/>
        <v>9</v>
      </c>
      <c r="C241" s="16"/>
      <c r="D241" s="16">
        <f>IF('Investment results'!$D$13=Assumptions!$B$106,IF($B241=Assumptions!$E$27,Assumptions!$O$19,0),IF('Investment results'!$D$13=Assumptions!$B$105,IF($B241=Assumptions!$E$27,Assumptions!$N$19,0),IF('Investment results'!$D$13=Assumptions!$B$107,IF($B241=Assumptions!$E$27,Assumptions!$P$19,0))))</f>
        <v>0</v>
      </c>
      <c r="E241" s="16"/>
      <c r="F241" s="16"/>
      <c r="G241" s="16"/>
      <c r="H241" s="16"/>
      <c r="I241"/>
      <c r="J241"/>
      <c r="K241"/>
      <c r="L241"/>
      <c r="M241"/>
      <c r="N241"/>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row>
    <row r="242" spans="1:69" s="6" customFormat="1" x14ac:dyDescent="0.35">
      <c r="A242" s="6">
        <f t="shared" ca="1" si="8"/>
        <v>2035</v>
      </c>
      <c r="B242" s="6">
        <f t="shared" si="8"/>
        <v>10</v>
      </c>
      <c r="C242" s="16"/>
      <c r="D242" s="16">
        <f>IF('Investment results'!$D$13=Assumptions!$B$106,IF($B242=Assumptions!$E$27,Assumptions!$O$19,0),IF('Investment results'!$D$13=Assumptions!$B$105,IF($B242=Assumptions!$E$27,Assumptions!$N$19,0),IF('Investment results'!$D$13=Assumptions!$B$107,IF($B242=Assumptions!$E$27,Assumptions!$P$19,0))))</f>
        <v>0</v>
      </c>
      <c r="E242" s="16"/>
      <c r="F242" s="16"/>
      <c r="G242" s="16"/>
      <c r="H242" s="16"/>
      <c r="I242"/>
      <c r="J242"/>
      <c r="K242"/>
      <c r="L242"/>
      <c r="M242"/>
      <c r="N242"/>
      <c r="O242"/>
      <c r="P242"/>
      <c r="Q242"/>
      <c r="R242"/>
      <c r="S242"/>
      <c r="T242"/>
      <c r="U242"/>
      <c r="V242"/>
      <c r="W242"/>
      <c r="X242"/>
      <c r="Y242"/>
      <c r="Z242"/>
      <c r="AA242"/>
      <c r="AB242"/>
      <c r="AC242"/>
      <c r="AD242"/>
      <c r="AE242"/>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row>
    <row r="243" spans="1:69" s="6" customFormat="1" x14ac:dyDescent="0.35">
      <c r="A243" s="6">
        <f t="shared" ca="1" si="8"/>
        <v>2036</v>
      </c>
      <c r="B243" s="6">
        <f t="shared" si="8"/>
        <v>11</v>
      </c>
      <c r="C243" s="16"/>
      <c r="D243" s="16">
        <f>IF('Investment results'!$D$13=Assumptions!$B$106,IF($B243=Assumptions!$E$27,Assumptions!$O$19,0),IF('Investment results'!$D$13=Assumptions!$B$105,IF($B243=Assumptions!$E$27,Assumptions!$N$19,0),IF('Investment results'!$D$13=Assumptions!$B$107,IF($B243=Assumptions!$E$27,Assumptions!$P$19,0))))</f>
        <v>0</v>
      </c>
      <c r="E243" s="16"/>
      <c r="F243" s="16"/>
      <c r="G243" s="16"/>
      <c r="H243" s="16"/>
      <c r="I243"/>
      <c r="J243"/>
      <c r="K243"/>
      <c r="L243"/>
      <c r="M243"/>
      <c r="N243"/>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row>
    <row r="244" spans="1:69" s="6" customFormat="1" x14ac:dyDescent="0.35">
      <c r="A244" s="6">
        <f t="shared" ca="1" si="8"/>
        <v>2037</v>
      </c>
      <c r="B244" s="6">
        <f t="shared" si="8"/>
        <v>12</v>
      </c>
      <c r="C244" s="16"/>
      <c r="D244" s="16">
        <f>IF('Investment results'!$D$13=Assumptions!$B$106,IF($B244=Assumptions!$E$27,Assumptions!$O$19,0),IF('Investment results'!$D$13=Assumptions!$B$105,IF($B244=Assumptions!$E$27,Assumptions!$N$19,0),IF('Investment results'!$D$13=Assumptions!$B$107,IF($B244=Assumptions!$E$27,Assumptions!$P$19,0))))</f>
        <v>0</v>
      </c>
      <c r="E244" s="16"/>
      <c r="F244" s="16"/>
      <c r="G244" s="16"/>
      <c r="H244" s="16"/>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row>
    <row r="245" spans="1:69" s="6" customFormat="1" x14ac:dyDescent="0.35">
      <c r="A245" s="6">
        <f t="shared" ca="1" si="8"/>
        <v>2038</v>
      </c>
      <c r="B245" s="6">
        <f t="shared" si="8"/>
        <v>13</v>
      </c>
      <c r="C245" s="16"/>
      <c r="D245" s="16">
        <f>IF('Investment results'!$D$13=Assumptions!$B$106,IF($B245=Assumptions!$E$27,Assumptions!$O$19,0),IF('Investment results'!$D$13=Assumptions!$B$105,IF($B245=Assumptions!$E$27,Assumptions!$N$19,0),IF('Investment results'!$D$13=Assumptions!$B$107,IF($B245=Assumptions!$E$27,Assumptions!$P$19,0))))</f>
        <v>0</v>
      </c>
      <c r="E245" s="16"/>
      <c r="F245" s="16"/>
      <c r="G245" s="16"/>
      <c r="H245" s="16"/>
      <c r="I245"/>
      <c r="J245"/>
      <c r="K245"/>
      <c r="L245"/>
      <c r="M245"/>
      <c r="N245"/>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row>
    <row r="246" spans="1:69" s="6" customFormat="1" x14ac:dyDescent="0.35">
      <c r="A246" s="6">
        <f t="shared" ca="1" si="8"/>
        <v>2039</v>
      </c>
      <c r="B246" s="6">
        <f t="shared" si="8"/>
        <v>14</v>
      </c>
      <c r="C246" s="16"/>
      <c r="D246" s="16">
        <f>IF('Investment results'!$D$13=Assumptions!$B$106,IF($B246=Assumptions!$E$27,Assumptions!$O$19,0),IF('Investment results'!$D$13=Assumptions!$B$105,IF($B246=Assumptions!$E$27,Assumptions!$N$19,0),IF('Investment results'!$D$13=Assumptions!$B$107,IF($B246=Assumptions!$E$27,Assumptions!$P$19,0))))</f>
        <v>0</v>
      </c>
      <c r="E246" s="16"/>
      <c r="F246" s="16"/>
      <c r="G246" s="16"/>
      <c r="H246" s="16"/>
      <c r="I246"/>
      <c r="J246"/>
      <c r="K246"/>
      <c r="L246"/>
      <c r="M246"/>
      <c r="N246"/>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row>
    <row r="247" spans="1:69" s="6" customFormat="1" x14ac:dyDescent="0.35">
      <c r="A247" s="6">
        <f t="shared" ca="1" si="8"/>
        <v>2040</v>
      </c>
      <c r="B247" s="6">
        <f t="shared" si="8"/>
        <v>15</v>
      </c>
      <c r="C247" s="16"/>
      <c r="D247" s="16">
        <f>IF('Investment results'!$D$13=Assumptions!$B$106,IF($B247=Assumptions!$E$27,Assumptions!$O$19,0),IF('Investment results'!$D$13=Assumptions!$B$105,IF($B247=Assumptions!$E$27,Assumptions!$N$19,0),IF('Investment results'!$D$13=Assumptions!$B$107,IF($B247=Assumptions!$E$27,Assumptions!$P$19,0))))</f>
        <v>0</v>
      </c>
      <c r="E247" s="16"/>
      <c r="F247" s="16"/>
      <c r="G247" s="16"/>
      <c r="H247" s="16"/>
      <c r="I247"/>
      <c r="J247"/>
      <c r="K247"/>
      <c r="L247"/>
      <c r="M247"/>
      <c r="N247"/>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row>
    <row r="248" spans="1:69" s="6" customFormat="1" x14ac:dyDescent="0.35">
      <c r="A248" s="6">
        <f t="shared" ca="1" si="8"/>
        <v>2041</v>
      </c>
      <c r="B248" s="6">
        <f t="shared" si="8"/>
        <v>16</v>
      </c>
      <c r="C248" s="16"/>
      <c r="D248" s="16">
        <f>IF('Investment results'!$D$13=Assumptions!$B$106,IF($B248=Assumptions!$E$27,Assumptions!$O$19,0),IF('Investment results'!$D$13=Assumptions!$B$105,IF($B248=Assumptions!$E$27,Assumptions!$N$19,0),IF('Investment results'!$D$13=Assumptions!$B$107,IF($B248=Assumptions!$E$27,Assumptions!$P$19,0))))</f>
        <v>0</v>
      </c>
      <c r="E248" s="16"/>
      <c r="F248" s="16"/>
      <c r="G248" s="16"/>
      <c r="H248" s="16"/>
      <c r="I248"/>
      <c r="J248"/>
      <c r="K248"/>
      <c r="L248"/>
      <c r="M248"/>
      <c r="N248"/>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row>
    <row r="249" spans="1:69" s="6" customFormat="1" x14ac:dyDescent="0.35">
      <c r="A249" s="6">
        <f t="shared" ca="1" si="8"/>
        <v>2042</v>
      </c>
      <c r="B249" s="6">
        <f t="shared" si="8"/>
        <v>17</v>
      </c>
      <c r="C249" s="16"/>
      <c r="D249" s="16">
        <f>IF('Investment results'!$D$13=Assumptions!$B$106,IF($B249=Assumptions!$E$27,Assumptions!$O$19,0),IF('Investment results'!$D$13=Assumptions!$B$105,IF($B249=Assumptions!$E$27,Assumptions!$N$19,0),IF('Investment results'!$D$13=Assumptions!$B$107,IF($B249=Assumptions!$E$27,Assumptions!$P$19,0))))</f>
        <v>0</v>
      </c>
      <c r="E249" s="16"/>
      <c r="F249" s="16"/>
      <c r="G249" s="16"/>
      <c r="H249" s="16"/>
      <c r="I249"/>
      <c r="J249"/>
      <c r="K249"/>
      <c r="L249"/>
      <c r="M249"/>
      <c r="N24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row>
    <row r="250" spans="1:69" s="6" customFormat="1" x14ac:dyDescent="0.35">
      <c r="A250" s="6">
        <f t="shared" ca="1" si="8"/>
        <v>2043</v>
      </c>
      <c r="B250" s="6">
        <f t="shared" si="8"/>
        <v>18</v>
      </c>
      <c r="C250" s="16"/>
      <c r="D250" s="16">
        <f>IF('Investment results'!$D$13=Assumptions!$B$106,IF($B250=Assumptions!$E$27,Assumptions!$O$19,0),IF('Investment results'!$D$13=Assumptions!$B$105,IF($B250=Assumptions!$E$27,Assumptions!$N$19,0),IF('Investment results'!$D$13=Assumptions!$B$107,IF($B250=Assumptions!$E$27,Assumptions!$P$19,0))))</f>
        <v>0</v>
      </c>
      <c r="E250" s="16"/>
      <c r="F250" s="16"/>
      <c r="G250" s="16"/>
      <c r="H250" s="16"/>
      <c r="I250"/>
      <c r="J250"/>
      <c r="K250"/>
      <c r="L250"/>
      <c r="M250"/>
      <c r="N250"/>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row>
    <row r="251" spans="1:69" s="6" customFormat="1" x14ac:dyDescent="0.35">
      <c r="A251" s="6">
        <f t="shared" ca="1" si="8"/>
        <v>2044</v>
      </c>
      <c r="B251" s="6">
        <f t="shared" si="8"/>
        <v>19</v>
      </c>
      <c r="C251" s="16"/>
      <c r="D251" s="16">
        <f>IF('Investment results'!$D$13=Assumptions!$B$106,IF($B251=Assumptions!$E$27,Assumptions!$O$19,0),IF('Investment results'!$D$13=Assumptions!$B$105,IF($B251=Assumptions!$E$27,Assumptions!$N$19,0),IF('Investment results'!$D$13=Assumptions!$B$107,IF($B251=Assumptions!$E$27,Assumptions!$P$19,0))))</f>
        <v>0</v>
      </c>
      <c r="E251" s="16"/>
      <c r="F251" s="16"/>
      <c r="G251" s="16"/>
      <c r="H251" s="16"/>
      <c r="I251"/>
      <c r="J251"/>
      <c r="K251"/>
      <c r="L251"/>
      <c r="M251"/>
      <c r="N251"/>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row>
    <row r="252" spans="1:69" s="6" customFormat="1" x14ac:dyDescent="0.35">
      <c r="A252" s="6">
        <f t="shared" ca="1" si="8"/>
        <v>2045</v>
      </c>
      <c r="B252" s="6">
        <f t="shared" si="8"/>
        <v>20</v>
      </c>
      <c r="C252" s="16"/>
      <c r="D252" s="16">
        <f>IF('Investment results'!$D$13=Assumptions!$B$106,IF($B252=Assumptions!$E$27,Assumptions!$O$19,0),IF('Investment results'!$D$13=Assumptions!$B$105,IF($B252=Assumptions!$E$27,Assumptions!$N$19,0),IF('Investment results'!$D$13=Assumptions!$B$107,IF($B252=Assumptions!$E$27,Assumptions!$P$19,0))))</f>
        <v>0</v>
      </c>
      <c r="E252" s="16"/>
      <c r="F252" s="16"/>
      <c r="G252" s="16"/>
      <c r="H252" s="16"/>
      <c r="I252"/>
      <c r="J252"/>
      <c r="K252"/>
      <c r="L252"/>
      <c r="M252"/>
      <c r="N252"/>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row>
    <row r="253" spans="1:69" s="6" customFormat="1" x14ac:dyDescent="0.35">
      <c r="A253" s="6">
        <f t="shared" ca="1" si="8"/>
        <v>2046</v>
      </c>
      <c r="B253" s="6">
        <f t="shared" si="8"/>
        <v>21</v>
      </c>
      <c r="C253" s="16"/>
      <c r="D253" s="16">
        <f>IF('Investment results'!$D$13=Assumptions!$B$106,IF($B253=Assumptions!$E$27,Assumptions!$O$19,0),IF('Investment results'!$D$13=Assumptions!$B$105,IF($B253=Assumptions!$E$27,Assumptions!$N$19,0),IF('Investment results'!$D$13=Assumptions!$B$107,IF($B253=Assumptions!$E$27,Assumptions!$P$19,0))))</f>
        <v>0</v>
      </c>
      <c r="E253" s="16"/>
      <c r="F253" s="16"/>
      <c r="G253" s="16"/>
      <c r="H253" s="16"/>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row>
    <row r="254" spans="1:69" s="6" customFormat="1" x14ac:dyDescent="0.35">
      <c r="A254" s="6">
        <f t="shared" ca="1" si="8"/>
        <v>2047</v>
      </c>
      <c r="B254" s="6">
        <f t="shared" si="8"/>
        <v>22</v>
      </c>
      <c r="C254" s="16"/>
      <c r="D254" s="16">
        <f>IF('Investment results'!$D$13=Assumptions!$B$106,IF($B254=Assumptions!$E$27,Assumptions!$O$19,0),IF('Investment results'!$D$13=Assumptions!$B$105,IF($B254=Assumptions!$E$27,Assumptions!$N$19,0),IF('Investment results'!$D$13=Assumptions!$B$107,IF($B254=Assumptions!$E$27,Assumptions!$P$19,0))))</f>
        <v>0</v>
      </c>
      <c r="E254" s="16"/>
      <c r="F254" s="16"/>
      <c r="G254" s="16"/>
      <c r="H254" s="16"/>
      <c r="I254"/>
      <c r="J254"/>
      <c r="K254"/>
      <c r="L254"/>
      <c r="M254"/>
      <c r="N254"/>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row>
    <row r="255" spans="1:69" s="6" customFormat="1" x14ac:dyDescent="0.35">
      <c r="A255" s="6">
        <f t="shared" ca="1" si="8"/>
        <v>2048</v>
      </c>
      <c r="B255" s="6">
        <f t="shared" si="8"/>
        <v>23</v>
      </c>
      <c r="C255" s="16"/>
      <c r="D255" s="16">
        <f>IF('Investment results'!$D$13=Assumptions!$B$106,IF($B255=Assumptions!$E$27,Assumptions!$O$19,0),IF('Investment results'!$D$13=Assumptions!$B$105,IF($B255=Assumptions!$E$27,Assumptions!$N$19,0),IF('Investment results'!$D$13=Assumptions!$B$107,IF($B255=Assumptions!$E$27,Assumptions!$P$19,0))))</f>
        <v>0</v>
      </c>
      <c r="E255" s="16"/>
      <c r="F255" s="16"/>
      <c r="G255" s="16"/>
      <c r="H255" s="16"/>
      <c r="I255"/>
      <c r="J255"/>
      <c r="K255"/>
      <c r="L255"/>
      <c r="M255"/>
      <c r="N255"/>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row>
    <row r="256" spans="1:69" s="6" customFormat="1" x14ac:dyDescent="0.35">
      <c r="A256" s="6">
        <f t="shared" ca="1" si="8"/>
        <v>2049</v>
      </c>
      <c r="B256" s="6">
        <f t="shared" si="8"/>
        <v>24</v>
      </c>
      <c r="C256" s="16"/>
      <c r="D256" s="16">
        <f>IF('Investment results'!$D$13=Assumptions!$B$106,IF($B256=Assumptions!$E$27,Assumptions!$O$19,0),IF('Investment results'!$D$13=Assumptions!$B$105,IF($B256=Assumptions!$E$27,Assumptions!$N$19,0),IF('Investment results'!$D$13=Assumptions!$B$107,IF($B256=Assumptions!$E$27,Assumptions!$P$19,0))))</f>
        <v>0</v>
      </c>
      <c r="E256" s="16"/>
      <c r="F256" s="16"/>
      <c r="G256" s="16"/>
      <c r="H256" s="16"/>
      <c r="I256"/>
      <c r="J256"/>
      <c r="K256"/>
      <c r="L256"/>
      <c r="M256"/>
      <c r="N256"/>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row>
    <row r="257" spans="1:69" s="6" customFormat="1" x14ac:dyDescent="0.35">
      <c r="A257" s="6">
        <f t="shared" ca="1" si="8"/>
        <v>2050</v>
      </c>
      <c r="B257" s="6">
        <f t="shared" si="8"/>
        <v>25</v>
      </c>
      <c r="C257" s="16"/>
      <c r="D257" s="16">
        <f>IF('Investment results'!$D$13=Assumptions!$B$106,IF($B257=Assumptions!$E$27,Assumptions!$O$19,0),IF('Investment results'!$D$13=Assumptions!$B$105,IF($B257=Assumptions!$E$27,Assumptions!$N$19,0),IF('Investment results'!$D$13=Assumptions!$B$107,IF($B257=Assumptions!$E$27,Assumptions!$P$19,0))))</f>
        <v>0</v>
      </c>
      <c r="E257" s="16"/>
      <c r="F257" s="16"/>
      <c r="G257" s="16"/>
      <c r="H257" s="16"/>
      <c r="I257"/>
      <c r="J257"/>
      <c r="K257"/>
      <c r="L257"/>
      <c r="M257"/>
      <c r="N257"/>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row>
    <row r="258" spans="1:69" s="6" customFormat="1" x14ac:dyDescent="0.35">
      <c r="A258" s="6">
        <f t="shared" ca="1" si="8"/>
        <v>2051</v>
      </c>
      <c r="B258" s="6">
        <f t="shared" si="8"/>
        <v>26</v>
      </c>
      <c r="C258" s="16"/>
      <c r="D258" s="16">
        <f>IF('Investment results'!$D$13=Assumptions!$B$106,IF($B258=Assumptions!$E$27,Assumptions!$O$19,0),IF('Investment results'!$D$13=Assumptions!$B$105,IF($B258=Assumptions!$E$27,Assumptions!$N$19,0),IF('Investment results'!$D$13=Assumptions!$B$107,IF($B258=Assumptions!$E$27,Assumptions!$P$19,0))))</f>
        <v>0</v>
      </c>
      <c r="E258" s="16"/>
      <c r="F258" s="16"/>
      <c r="G258" s="16"/>
      <c r="H258" s="16"/>
      <c r="I258"/>
      <c r="J258"/>
      <c r="K258"/>
      <c r="L258"/>
      <c r="M258"/>
      <c r="N258"/>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row>
    <row r="259" spans="1:69" s="6" customFormat="1" x14ac:dyDescent="0.35">
      <c r="A259" s="6">
        <f t="shared" ca="1" si="8"/>
        <v>2052</v>
      </c>
      <c r="B259" s="6">
        <f t="shared" si="8"/>
        <v>27</v>
      </c>
      <c r="C259" s="16"/>
      <c r="D259" s="16">
        <f>IF('Investment results'!$D$13=Assumptions!$B$106,IF($B259=Assumptions!$E$27,Assumptions!$O$19,0),IF('Investment results'!$D$13=Assumptions!$B$105,IF($B259=Assumptions!$E$27,Assumptions!$N$19,0),IF('Investment results'!$D$13=Assumptions!$B$107,IF($B259=Assumptions!$E$27,Assumptions!$P$19,0))))</f>
        <v>0</v>
      </c>
      <c r="E259" s="16"/>
      <c r="F259" s="16"/>
      <c r="G259" s="16"/>
      <c r="H259" s="16"/>
      <c r="I259"/>
      <c r="J259"/>
      <c r="K259"/>
      <c r="L259"/>
      <c r="M259"/>
      <c r="N25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row>
    <row r="260" spans="1:69" s="6" customFormat="1" x14ac:dyDescent="0.35">
      <c r="A260" s="6">
        <f t="shared" ca="1" si="8"/>
        <v>2053</v>
      </c>
      <c r="B260" s="6">
        <f t="shared" si="8"/>
        <v>28</v>
      </c>
      <c r="C260" s="16"/>
      <c r="D260" s="16" t="e">
        <f>IF('Investment results'!$D$13=Assumptions!$B$106,IF($B260=Assumptions!$E$27,Assumptions!$O$19,0),IF('Investment results'!$D$13=Assumptions!$B$105,IF($B260=Assumptions!$E$27,Assumptions!$N$19,0),IF('Investment results'!$D$13=Assumptions!$B$107,IF($B260=Assumptions!$E$27,Assumptions!$P$19,0))))</f>
        <v>#REF!</v>
      </c>
      <c r="E260" s="16"/>
      <c r="F260" s="16"/>
      <c r="G260" s="16"/>
      <c r="H260" s="16"/>
      <c r="I260"/>
      <c r="J260"/>
      <c r="K260"/>
      <c r="L260"/>
      <c r="M260"/>
      <c r="N260"/>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row>
    <row r="261" spans="1:69" s="6" customFormat="1" x14ac:dyDescent="0.35">
      <c r="A261" s="6">
        <f t="shared" ca="1" si="8"/>
        <v>2054</v>
      </c>
      <c r="B261" s="6">
        <f t="shared" si="8"/>
        <v>29</v>
      </c>
      <c r="C261" s="16"/>
      <c r="D261" s="16">
        <f>IF('Investment results'!$D$13=Assumptions!$B$106,IF($B261=Assumptions!$E$27,Assumptions!$O$19,0),IF('Investment results'!$D$13=Assumptions!$B$105,IF($B261=Assumptions!$E$27,Assumptions!$N$19,0),IF('Investment results'!$D$13=Assumptions!$B$107,IF($B261=Assumptions!$E$27,Assumptions!$P$19,0))))</f>
        <v>0</v>
      </c>
      <c r="E261" s="16"/>
      <c r="F261" s="16"/>
      <c r="G261" s="16"/>
      <c r="H261" s="16"/>
      <c r="I261"/>
      <c r="J261"/>
      <c r="K261"/>
      <c r="L261"/>
      <c r="M261"/>
      <c r="N261"/>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row>
    <row r="262" spans="1:69" s="6" customFormat="1" x14ac:dyDescent="0.35">
      <c r="A262" s="6">
        <f t="shared" ca="1" si="8"/>
        <v>2055</v>
      </c>
      <c r="B262" s="6">
        <f t="shared" si="8"/>
        <v>30</v>
      </c>
      <c r="C262" s="16"/>
      <c r="D262" s="16">
        <f>IF('Investment results'!$D$13=Assumptions!$B$106,IF($B262=Assumptions!$E$27,Assumptions!$O$19,0),IF('Investment results'!$D$13=Assumptions!$B$105,IF($B262=Assumptions!$E$27,Assumptions!$N$19,0),IF('Investment results'!$D$13=Assumptions!$B$107,IF($B262=Assumptions!$E$27,Assumptions!$P$19,0))))</f>
        <v>0</v>
      </c>
      <c r="E262" s="16"/>
      <c r="F262" s="16"/>
      <c r="G262" s="16"/>
      <c r="H262" s="16"/>
      <c r="I262"/>
      <c r="J262"/>
      <c r="K262"/>
      <c r="L262"/>
      <c r="M262"/>
      <c r="N262"/>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row>
    <row r="263" spans="1:69" s="6" customFormat="1" x14ac:dyDescent="0.35">
      <c r="A263" s="6">
        <f t="shared" ca="1" si="8"/>
        <v>2056</v>
      </c>
      <c r="B263" s="6">
        <f t="shared" si="8"/>
        <v>31</v>
      </c>
      <c r="C263" s="16"/>
      <c r="D263" s="16">
        <f>IF('Investment results'!$D$13=Assumptions!$B$106,IF($B263=Assumptions!$E$27,Assumptions!$O$19,0),IF('Investment results'!$D$13=Assumptions!$B$105,IF($B263=Assumptions!$E$27,Assumptions!$N$19,0),IF('Investment results'!$D$13=Assumptions!$B$107,IF($B263=Assumptions!$E$27,Assumptions!$P$19,0))))</f>
        <v>0</v>
      </c>
      <c r="E263" s="16"/>
      <c r="F263" s="16"/>
      <c r="G263" s="16"/>
      <c r="H263" s="16"/>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row>
    <row r="264" spans="1:69" s="6" customFormat="1" x14ac:dyDescent="0.35">
      <c r="A264" s="6">
        <f t="shared" ca="1" si="8"/>
        <v>2057</v>
      </c>
      <c r="B264" s="6">
        <f t="shared" si="8"/>
        <v>32</v>
      </c>
      <c r="C264" s="16"/>
      <c r="D264" s="16">
        <f>IF('Investment results'!$D$13=Assumptions!$B$106,IF($B264=Assumptions!$E$27,Assumptions!$O$19,0),IF('Investment results'!$D$13=Assumptions!$B$105,IF($B264=Assumptions!$E$27,Assumptions!$N$19,0),IF('Investment results'!$D$13=Assumptions!$B$107,IF($B264=Assumptions!$E$27,Assumptions!$P$19,0))))</f>
        <v>0</v>
      </c>
      <c r="E264" s="16"/>
      <c r="F264" s="16"/>
      <c r="G264" s="16"/>
      <c r="H264" s="16"/>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row>
    <row r="265" spans="1:69" s="6" customFormat="1" x14ac:dyDescent="0.35">
      <c r="A265" s="6">
        <f t="shared" ca="1" si="8"/>
        <v>2058</v>
      </c>
      <c r="B265" s="6">
        <f t="shared" si="8"/>
        <v>33</v>
      </c>
      <c r="C265" s="16"/>
      <c r="D265" s="16">
        <f>IF('Investment results'!$D$13=Assumptions!$B$106,IF($B265=Assumptions!$E$27,Assumptions!$O$19,0),IF('Investment results'!$D$13=Assumptions!$B$105,IF($B265=Assumptions!$E$27,Assumptions!$N$19,0),IF('Investment results'!$D$13=Assumptions!$B$107,IF($B265=Assumptions!$E$27,Assumptions!$P$19,0))))</f>
        <v>0</v>
      </c>
      <c r="E265" s="16"/>
      <c r="F265" s="16"/>
      <c r="G265" s="16"/>
      <c r="H265" s="16"/>
      <c r="I265"/>
      <c r="J265"/>
      <c r="K265"/>
      <c r="L265"/>
      <c r="M265"/>
      <c r="N265"/>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row>
    <row r="266" spans="1:69" s="6" customFormat="1" x14ac:dyDescent="0.35">
      <c r="A266" s="6">
        <f t="shared" ca="1" si="8"/>
        <v>2059</v>
      </c>
      <c r="B266" s="6">
        <f t="shared" si="8"/>
        <v>34</v>
      </c>
      <c r="C266" s="16"/>
      <c r="D266" s="16">
        <f>IF('Investment results'!$D$13=Assumptions!$B$106,IF($B266=Assumptions!$E$27,Assumptions!$O$19,0),IF('Investment results'!$D$13=Assumptions!$B$105,IF($B266=Assumptions!$E$27,Assumptions!$N$19,0),IF('Investment results'!$D$13=Assumptions!$B$107,IF($B266=Assumptions!$E$27,Assumptions!$P$19,0))))</f>
        <v>0</v>
      </c>
      <c r="E266" s="16"/>
      <c r="F266" s="16"/>
      <c r="G266" s="16"/>
      <c r="H266" s="16"/>
      <c r="I266"/>
      <c r="J266"/>
      <c r="K266"/>
      <c r="L266"/>
      <c r="M266"/>
      <c r="N266"/>
      <c r="O266"/>
      <c r="P266"/>
      <c r="Q266"/>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row>
    <row r="267" spans="1:69" s="6" customFormat="1" x14ac:dyDescent="0.35">
      <c r="A267" s="6">
        <f t="shared" ca="1" si="8"/>
        <v>2060</v>
      </c>
      <c r="B267" s="6">
        <f t="shared" si="8"/>
        <v>35</v>
      </c>
      <c r="C267" s="16"/>
      <c r="D267" s="16">
        <f>IF('Investment results'!$D$13=Assumptions!$B$106,IF($B267=Assumptions!$E$27,Assumptions!$O$19,0),IF('Investment results'!$D$13=Assumptions!$B$105,IF($B267=Assumptions!$E$27,Assumptions!$N$19,0),IF('Investment results'!$D$13=Assumptions!$B$107,IF($B267=Assumptions!$E$27,Assumptions!$P$19,0))))</f>
        <v>0</v>
      </c>
      <c r="E267" s="16"/>
      <c r="F267" s="16"/>
      <c r="G267" s="16"/>
      <c r="H267" s="16"/>
      <c r="I267"/>
      <c r="J267"/>
      <c r="K267"/>
      <c r="L267"/>
      <c r="M267"/>
      <c r="N267"/>
      <c r="O267"/>
      <c r="P267"/>
      <c r="Q267"/>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row>
    <row r="268" spans="1:69" s="6" customFormat="1" x14ac:dyDescent="0.35">
      <c r="A268" s="6">
        <f t="shared" ca="1" si="8"/>
        <v>2061</v>
      </c>
      <c r="B268" s="6">
        <f t="shared" si="8"/>
        <v>36</v>
      </c>
      <c r="C268" s="16"/>
      <c r="D268" s="16">
        <f>IF('Investment results'!$D$13=Assumptions!$B$106,IF($B268=Assumptions!$E$27,Assumptions!$O$19,0),IF('Investment results'!$D$13=Assumptions!$B$105,IF($B268=Assumptions!$E$27,Assumptions!$N$19,0),IF('Investment results'!$D$13=Assumptions!$B$107,IF($B268=Assumptions!$E$27,Assumptions!$P$19,0))))</f>
        <v>0</v>
      </c>
      <c r="E268" s="16"/>
      <c r="F268" s="16"/>
      <c r="G268" s="16"/>
      <c r="H268" s="16"/>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row>
    <row r="269" spans="1:69" s="6" customFormat="1" x14ac:dyDescent="0.35">
      <c r="A269" s="6">
        <f t="shared" ca="1" si="8"/>
        <v>2062</v>
      </c>
      <c r="B269" s="6">
        <f t="shared" si="8"/>
        <v>37</v>
      </c>
      <c r="C269" s="16"/>
      <c r="D269" s="16">
        <f>IF('Investment results'!$D$13=Assumptions!$B$106,IF($B269=Assumptions!$E$27,Assumptions!$O$19,0),IF('Investment results'!$D$13=Assumptions!$B$105,IF($B269=Assumptions!$E$27,Assumptions!$N$19,0),IF('Investment results'!$D$13=Assumptions!$B$107,IF($B269=Assumptions!$E$27,Assumptions!$P$19,0))))</f>
        <v>0</v>
      </c>
      <c r="E269" s="16"/>
      <c r="F269" s="16"/>
      <c r="G269" s="16"/>
      <c r="H269" s="16"/>
      <c r="I269"/>
      <c r="J269"/>
      <c r="K269"/>
      <c r="L269"/>
      <c r="M269"/>
      <c r="N269"/>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row>
    <row r="270" spans="1:69" s="6" customFormat="1" x14ac:dyDescent="0.35">
      <c r="A270" s="6">
        <f t="shared" ca="1" si="8"/>
        <v>2063</v>
      </c>
      <c r="B270" s="6">
        <f t="shared" si="8"/>
        <v>38</v>
      </c>
      <c r="C270" s="16"/>
      <c r="D270" s="16">
        <f>IF('Investment results'!$D$13=Assumptions!$B$106,IF($B270=Assumptions!$E$27,Assumptions!$O$19,0),IF('Investment results'!$D$13=Assumptions!$B$105,IF($B270=Assumptions!$E$27,Assumptions!$N$19,0),IF('Investment results'!$D$13=Assumptions!$B$107,IF($B270=Assumptions!$E$27,Assumptions!$P$19,0))))</f>
        <v>0</v>
      </c>
      <c r="E270" s="16"/>
      <c r="F270" s="16"/>
      <c r="G270" s="16"/>
      <c r="H270" s="16"/>
      <c r="I270"/>
      <c r="J270"/>
      <c r="K270"/>
      <c r="L270"/>
      <c r="M270"/>
      <c r="N270"/>
      <c r="O270"/>
      <c r="P270"/>
      <c r="Q270"/>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row>
    <row r="271" spans="1:69" s="6" customFormat="1" x14ac:dyDescent="0.35">
      <c r="A271" s="6">
        <f t="shared" ca="1" si="8"/>
        <v>2064</v>
      </c>
      <c r="B271" s="6">
        <f t="shared" si="8"/>
        <v>39</v>
      </c>
      <c r="C271" s="16"/>
      <c r="D271" s="16">
        <f>IF('Investment results'!$D$13=Assumptions!$B$106,IF($B271=Assumptions!$E$27,Assumptions!$O$19,0),IF('Investment results'!$D$13=Assumptions!$B$105,IF($B271=Assumptions!$E$27,Assumptions!$N$19,0),IF('Investment results'!$D$13=Assumptions!$B$107,IF($B271=Assumptions!$E$27,Assumptions!$P$19,0))))</f>
        <v>0</v>
      </c>
      <c r="E271" s="16"/>
      <c r="F271" s="16"/>
      <c r="G271" s="16"/>
      <c r="H271" s="16"/>
      <c r="I271"/>
      <c r="J271"/>
      <c r="K271"/>
      <c r="L271"/>
      <c r="M271"/>
      <c r="N271"/>
      <c r="O271"/>
      <c r="P271"/>
      <c r="Q27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row>
    <row r="272" spans="1:69" s="6" customFormat="1" x14ac:dyDescent="0.35">
      <c r="A272" s="6">
        <f t="shared" ca="1" si="8"/>
        <v>2065</v>
      </c>
      <c r="B272" s="6">
        <f t="shared" si="8"/>
        <v>40</v>
      </c>
      <c r="C272" s="16"/>
      <c r="D272" s="16">
        <f>IF('Investment results'!$D$13=Assumptions!$B$106,IF($B272=Assumptions!$E$27,Assumptions!$O$19,0),IF('Investment results'!$D$13=Assumptions!$B$105,IF($B272=Assumptions!$E$27,Assumptions!$N$19,0),IF('Investment results'!$D$13=Assumptions!$B$107,IF($B272=Assumptions!$E$27,Assumptions!$P$19,0))))</f>
        <v>0</v>
      </c>
      <c r="E272" s="16"/>
      <c r="F272" s="16"/>
      <c r="G272" s="16"/>
      <c r="H272" s="16"/>
      <c r="I272"/>
      <c r="J272"/>
      <c r="K272"/>
      <c r="L272"/>
      <c r="M272"/>
      <c r="N272"/>
      <c r="O272"/>
      <c r="P272"/>
      <c r="Q272"/>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row>
    <row r="273" spans="1:70" s="6" customFormat="1" x14ac:dyDescent="0.35">
      <c r="A273" s="6">
        <f t="shared" ca="1" si="8"/>
        <v>2066</v>
      </c>
      <c r="B273" s="6">
        <f t="shared" si="8"/>
        <v>41</v>
      </c>
      <c r="C273" s="16"/>
      <c r="D273" s="16">
        <f>IF('Investment results'!$D$13=Assumptions!$B$106,IF($B273=Assumptions!$E$27,Assumptions!$O$19,0),IF('Investment results'!$D$13=Assumptions!$B$105,IF($B273=Assumptions!$E$27,Assumptions!$N$19,0),IF('Investment results'!$D$13=Assumptions!$B$107,IF($B273=Assumptions!$E$27,Assumptions!$P$19,0))))</f>
        <v>0</v>
      </c>
      <c r="E273" s="16"/>
      <c r="F273" s="16"/>
      <c r="G273" s="16"/>
      <c r="H273" s="16"/>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row>
    <row r="274" spans="1:70" s="6" customFormat="1" x14ac:dyDescent="0.35">
      <c r="A274" s="6">
        <f t="shared" ca="1" si="8"/>
        <v>2067</v>
      </c>
      <c r="B274" s="6">
        <f t="shared" si="8"/>
        <v>42</v>
      </c>
      <c r="C274" s="16"/>
      <c r="D274" s="16">
        <f>IF('Investment results'!$D$13=Assumptions!$B$106,IF($B274=Assumptions!$E$27,Assumptions!$O$19,0),IF('Investment results'!$D$13=Assumptions!$B$105,IF($B274=Assumptions!$E$27,Assumptions!$N$19,0),IF('Investment results'!$D$13=Assumptions!$B$107,IF($B274=Assumptions!$E$27,Assumptions!$P$19,0))))</f>
        <v>0</v>
      </c>
      <c r="E274" s="16"/>
      <c r="F274" s="16"/>
      <c r="G274" s="16"/>
      <c r="H274" s="16"/>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row>
    <row r="275" spans="1:70" s="6" customFormat="1" x14ac:dyDescent="0.35">
      <c r="A275" s="6">
        <f t="shared" ca="1" si="8"/>
        <v>2068</v>
      </c>
      <c r="B275" s="6">
        <f t="shared" si="8"/>
        <v>43</v>
      </c>
      <c r="C275" s="16"/>
      <c r="D275" s="16">
        <f>IF('Investment results'!$D$13=Assumptions!$B$106,IF($B275=Assumptions!$E$27,Assumptions!$O$19,0),IF('Investment results'!$D$13=Assumptions!$B$105,IF($B275=Assumptions!$E$27,Assumptions!$N$19,0),IF('Investment results'!$D$13=Assumptions!$B$107,IF($B275=Assumptions!$E$27,Assumptions!$P$19,0))))</f>
        <v>0</v>
      </c>
      <c r="E275" s="16"/>
      <c r="F275" s="16"/>
      <c r="G275" s="16"/>
      <c r="H275" s="16"/>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row>
    <row r="276" spans="1:70" s="6" customFormat="1" x14ac:dyDescent="0.35">
      <c r="A276" s="6">
        <f t="shared" ca="1" si="8"/>
        <v>2069</v>
      </c>
      <c r="B276" s="6">
        <f t="shared" si="8"/>
        <v>44</v>
      </c>
      <c r="C276" s="16"/>
      <c r="D276" s="16">
        <f>IF('Investment results'!$D$13=Assumptions!$B$106,IF($B276=Assumptions!$E$27,Assumptions!$O$19,0),IF('Investment results'!$D$13=Assumptions!$B$105,IF($B276=Assumptions!$E$27,Assumptions!$N$19,0),IF('Investment results'!$D$13=Assumptions!$B$107,IF($B276=Assumptions!$E$27,Assumptions!$P$19,0))))</f>
        <v>0</v>
      </c>
      <c r="E276" s="16"/>
      <c r="F276" s="16"/>
      <c r="G276" s="16"/>
      <c r="H276" s="1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row>
    <row r="277" spans="1:70" s="6" customFormat="1" x14ac:dyDescent="0.35">
      <c r="A277" s="6">
        <f t="shared" ca="1" si="8"/>
        <v>2070</v>
      </c>
      <c r="B277" s="6">
        <f t="shared" si="8"/>
        <v>45</v>
      </c>
      <c r="C277" s="16"/>
      <c r="D277" s="16">
        <f>IF('Investment results'!$D$13=Assumptions!$B$106,IF($B277=Assumptions!$E$27,Assumptions!$O$19,0),IF('Investment results'!$D$13=Assumptions!$B$105,IF($B277=Assumptions!$E$27,Assumptions!$N$19,0),IF('Investment results'!$D$13=Assumptions!$B$107,IF($B277=Assumptions!$E$27,Assumptions!$P$19,0))))</f>
        <v>0</v>
      </c>
      <c r="E277" s="16"/>
      <c r="F277" s="16"/>
      <c r="G277" s="16"/>
      <c r="H277" s="16"/>
      <c r="I277"/>
      <c r="J277"/>
      <c r="K277"/>
      <c r="L277"/>
      <c r="M277"/>
      <c r="N277"/>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row>
    <row r="278" spans="1:70" s="6" customFormat="1" x14ac:dyDescent="0.35">
      <c r="A278" s="6">
        <f t="shared" ca="1" si="8"/>
        <v>2071</v>
      </c>
      <c r="B278" s="6">
        <f t="shared" si="8"/>
        <v>46</v>
      </c>
      <c r="C278" s="16"/>
      <c r="D278" s="16">
        <f>IF('Investment results'!$D$13=Assumptions!$B$106,IF($B278=Assumptions!$E$27,Assumptions!$O$19,0),IF('Investment results'!$D$13=Assumptions!$B$105,IF($B278=Assumptions!$E$27,Assumptions!$N$19,0),IF('Investment results'!$D$13=Assumptions!$B$107,IF($B278=Assumptions!$E$27,Assumptions!$P$19,0))))</f>
        <v>0</v>
      </c>
      <c r="E278" s="16"/>
      <c r="F278" s="16"/>
      <c r="G278" s="16"/>
      <c r="H278" s="16"/>
      <c r="I278"/>
      <c r="J278"/>
      <c r="K278"/>
      <c r="L278"/>
      <c r="M278"/>
      <c r="N278"/>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row>
    <row r="279" spans="1:70" s="6" customFormat="1" x14ac:dyDescent="0.35">
      <c r="A279" s="6">
        <f t="shared" ca="1" si="8"/>
        <v>2072</v>
      </c>
      <c r="B279" s="6">
        <f t="shared" si="8"/>
        <v>47</v>
      </c>
      <c r="C279" s="16"/>
      <c r="D279" s="16">
        <f>IF('Investment results'!$D$13=Assumptions!$B$106,IF($B279=Assumptions!$E$27,Assumptions!$O$19,0),IF('Investment results'!$D$13=Assumptions!$B$105,IF($B279=Assumptions!$E$27,Assumptions!$N$19,0),IF('Investment results'!$D$13=Assumptions!$B$107,IF($B279=Assumptions!$E$27,Assumptions!$P$19,0))))</f>
        <v>0</v>
      </c>
      <c r="E279" s="16"/>
      <c r="F279" s="16"/>
      <c r="G279" s="16"/>
      <c r="H279" s="16"/>
      <c r="I279"/>
      <c r="J279"/>
      <c r="K279"/>
      <c r="L279"/>
      <c r="M279"/>
      <c r="N279"/>
      <c r="O279"/>
      <c r="P279"/>
      <c r="Q279"/>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row>
    <row r="280" spans="1:70" s="6" customFormat="1" x14ac:dyDescent="0.35">
      <c r="A280" s="6">
        <f t="shared" ca="1" si="8"/>
        <v>2073</v>
      </c>
      <c r="B280" s="6">
        <f t="shared" si="8"/>
        <v>48</v>
      </c>
      <c r="C280" s="16"/>
      <c r="D280" s="16">
        <f>IF('Investment results'!$D$13=Assumptions!$B$106,IF($B280=Assumptions!$E$27,Assumptions!$O$19,0),IF('Investment results'!$D$13=Assumptions!$B$105,IF($B280=Assumptions!$E$27,Assumptions!$N$19,0),IF('Investment results'!$D$13=Assumptions!$B$107,IF($B280=Assumptions!$E$27,Assumptions!$P$19,0))))</f>
        <v>0</v>
      </c>
      <c r="E280" s="16"/>
      <c r="F280" s="16"/>
      <c r="G280" s="16"/>
      <c r="H280" s="16"/>
      <c r="I280"/>
      <c r="J280"/>
      <c r="K280"/>
      <c r="L280"/>
      <c r="M280"/>
      <c r="N280"/>
      <c r="O280"/>
      <c r="P280"/>
      <c r="Q280"/>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row>
    <row r="281" spans="1:70" s="6" customFormat="1" x14ac:dyDescent="0.35">
      <c r="A281" s="6">
        <f t="shared" ca="1" si="8"/>
        <v>2074</v>
      </c>
      <c r="B281" s="6">
        <f t="shared" si="8"/>
        <v>49</v>
      </c>
      <c r="C281" s="16"/>
      <c r="D281" s="16">
        <f>IF('Investment results'!$D$13=Assumptions!$B$106,IF($B281=Assumptions!$E$27,Assumptions!$O$19,0),IF('Investment results'!$D$13=Assumptions!$B$105,IF($B281=Assumptions!$E$27,Assumptions!$N$19,0),IF('Investment results'!$D$13=Assumptions!$B$107,IF($B281=Assumptions!$E$27,Assumptions!$P$19,0))))</f>
        <v>0</v>
      </c>
      <c r="E281" s="16"/>
      <c r="F281" s="16"/>
      <c r="G281" s="16"/>
      <c r="H281" s="16"/>
      <c r="I281"/>
      <c r="J281"/>
      <c r="K281"/>
      <c r="L281"/>
      <c r="M281"/>
      <c r="N281"/>
      <c r="O281"/>
      <c r="P281"/>
      <c r="Q28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row>
    <row r="282" spans="1:70" s="6" customFormat="1" x14ac:dyDescent="0.35">
      <c r="A282" s="6">
        <f t="shared" ca="1" si="8"/>
        <v>2075</v>
      </c>
      <c r="B282" s="6">
        <f t="shared" si="8"/>
        <v>50</v>
      </c>
      <c r="C282" s="16"/>
      <c r="D282" s="16">
        <f>IF('Investment results'!$D$13=Assumptions!$B$106,IF($B282=Assumptions!$E$27,Assumptions!$O$19,0),IF('Investment results'!$D$13=Assumptions!$B$105,IF($B282=Assumptions!$E$27,Assumptions!$N$19,0),IF('Investment results'!$D$13=Assumptions!$B$107,IF($B282=Assumptions!$E$27,Assumptions!$P$19,0))))</f>
        <v>0</v>
      </c>
      <c r="E282" s="16"/>
      <c r="F282" s="16"/>
      <c r="G282" s="16"/>
      <c r="H282" s="16"/>
      <c r="I282"/>
      <c r="J282"/>
      <c r="K282"/>
      <c r="L282"/>
      <c r="M282"/>
      <c r="N282"/>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row>
    <row r="283" spans="1:70" s="6" customFormat="1" x14ac:dyDescent="0.35">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row>
    <row r="284" spans="1:70" x14ac:dyDescent="0.35">
      <c r="A284" t="s">
        <v>280</v>
      </c>
      <c r="C284" s="21"/>
      <c r="D284" s="21"/>
      <c r="E284" s="21"/>
      <c r="F284" s="21"/>
      <c r="G284" s="21"/>
      <c r="H284" s="21"/>
    </row>
    <row r="285" spans="1:70" x14ac:dyDescent="0.35">
      <c r="C285" s="42" t="e">
        <f>IRR(C286:C344)</f>
        <v>#VALUE!</v>
      </c>
      <c r="D285" s="42" t="e">
        <f>IRR(D286:D336)</f>
        <v>#VALUE!</v>
      </c>
      <c r="E285" s="42" t="e">
        <f>IRR(E286:E335)</f>
        <v>#VALUE!</v>
      </c>
      <c r="F285" s="42" t="e">
        <f t="shared" ref="F285:H285" si="9">IRR(F286:F335)</f>
        <v>#VALUE!</v>
      </c>
      <c r="G285" s="42" t="e">
        <f t="shared" si="9"/>
        <v>#VALUE!</v>
      </c>
      <c r="H285" s="42" t="e">
        <f t="shared" si="9"/>
        <v>#VALUE!</v>
      </c>
    </row>
    <row r="286" spans="1:70" x14ac:dyDescent="0.35">
      <c r="B286">
        <v>0</v>
      </c>
      <c r="C286" s="13">
        <f>IF($C$10="Opportunity cost (farm returns)",(C128+C17)*-1,(IF($C$10="Land cost",(C128+Assumptions!$D10)*-1,C128*-1)))</f>
        <v>-1400</v>
      </c>
      <c r="D286" s="13">
        <f>IF($C$10="Opportunity cost (farm returns)",(D128+D17)*-1,(IF($C$10="Land cost",(D128+Assumptions!$D10)*-1,D128*-1)))</f>
        <v>-1400</v>
      </c>
      <c r="E286" s="13">
        <f>IF($C$10="Opportunity cost (farm returns)",(E128+E17)*-1,(IF($C$10="Land cost",(E128+Assumptions!$D10)*-1,E128*-1)))</f>
        <v>-4000</v>
      </c>
      <c r="F286" s="13">
        <f>IF($C$10="Opportunity cost (farm returns)",(F128+F17)*-1,(IF($C$10="Land cost",(F128+Assumptions!$D10)*-1,F128*-1)))</f>
        <v>-7000</v>
      </c>
      <c r="G286" s="13">
        <f>IF($C$10="Opportunity cost (farm returns)",(G128+G17)*-1,(IF($C$10="Land cost",(G128+Assumptions!$D10)*-1,G128*-1)))</f>
        <v>-13750</v>
      </c>
      <c r="H286" s="13">
        <f>IF($C$10="Opportunity cost (farm returns)",(H128+H17)*-1,(IF($C$10="Land cost",(H128+Assumptions!$D10)*-1,H128*-1)))</f>
        <v>-20000</v>
      </c>
    </row>
    <row r="287" spans="1:70" x14ac:dyDescent="0.35">
      <c r="B287">
        <f t="shared" ref="B287:B334" si="10">B286+1</f>
        <v>1</v>
      </c>
      <c r="C287" s="13" t="e">
        <f t="shared" ref="C287:H296" si="11">C181-C129</f>
        <v>#REF!</v>
      </c>
      <c r="D287" s="13" t="e">
        <f t="shared" si="11"/>
        <v>#REF!</v>
      </c>
      <c r="E287" s="13" t="e">
        <f t="shared" si="11"/>
        <v>#REF!</v>
      </c>
      <c r="F287" s="13" t="e">
        <f t="shared" si="11"/>
        <v>#REF!</v>
      </c>
      <c r="G287" s="13" t="e">
        <f t="shared" si="11"/>
        <v>#REF!</v>
      </c>
      <c r="H287" s="13" t="e">
        <f t="shared" si="11"/>
        <v>#REF!</v>
      </c>
    </row>
    <row r="288" spans="1:70" x14ac:dyDescent="0.35">
      <c r="B288">
        <f t="shared" si="10"/>
        <v>2</v>
      </c>
      <c r="C288" s="13" t="e">
        <f t="shared" si="11"/>
        <v>#REF!</v>
      </c>
      <c r="D288" s="13" t="e">
        <f t="shared" si="11"/>
        <v>#REF!</v>
      </c>
      <c r="E288" s="13" t="e">
        <f t="shared" si="11"/>
        <v>#REF!</v>
      </c>
      <c r="F288" s="13" t="e">
        <f t="shared" si="11"/>
        <v>#REF!</v>
      </c>
      <c r="G288" s="13" t="e">
        <f t="shared" si="11"/>
        <v>#REF!</v>
      </c>
      <c r="H288" s="13" t="e">
        <f t="shared" si="11"/>
        <v>#REF!</v>
      </c>
    </row>
    <row r="289" spans="2:8" x14ac:dyDescent="0.35">
      <c r="B289">
        <f t="shared" si="10"/>
        <v>3</v>
      </c>
      <c r="C289" s="13" t="e">
        <f t="shared" si="11"/>
        <v>#REF!</v>
      </c>
      <c r="D289" s="13" t="e">
        <f t="shared" si="11"/>
        <v>#REF!</v>
      </c>
      <c r="E289" s="13" t="e">
        <f t="shared" si="11"/>
        <v>#REF!</v>
      </c>
      <c r="F289" s="13" t="e">
        <f t="shared" si="11"/>
        <v>#REF!</v>
      </c>
      <c r="G289" s="13" t="e">
        <f t="shared" si="11"/>
        <v>#REF!</v>
      </c>
      <c r="H289" s="13" t="e">
        <f t="shared" si="11"/>
        <v>#REF!</v>
      </c>
    </row>
    <row r="290" spans="2:8" x14ac:dyDescent="0.35">
      <c r="B290">
        <f t="shared" si="10"/>
        <v>4</v>
      </c>
      <c r="C290" s="13" t="e">
        <f t="shared" si="11"/>
        <v>#REF!</v>
      </c>
      <c r="D290" s="13" t="e">
        <f t="shared" si="11"/>
        <v>#REF!</v>
      </c>
      <c r="E290" s="13" t="e">
        <f t="shared" si="11"/>
        <v>#REF!</v>
      </c>
      <c r="F290" s="13" t="e">
        <f t="shared" si="11"/>
        <v>#REF!</v>
      </c>
      <c r="G290" s="13" t="e">
        <f t="shared" si="11"/>
        <v>#REF!</v>
      </c>
      <c r="H290" s="13" t="e">
        <f t="shared" si="11"/>
        <v>#REF!</v>
      </c>
    </row>
    <row r="291" spans="2:8" x14ac:dyDescent="0.35">
      <c r="B291">
        <f t="shared" si="10"/>
        <v>5</v>
      </c>
      <c r="C291" s="13" t="e">
        <f t="shared" si="11"/>
        <v>#REF!</v>
      </c>
      <c r="D291" s="13" t="e">
        <f t="shared" si="11"/>
        <v>#REF!</v>
      </c>
      <c r="E291" s="13" t="e">
        <f t="shared" si="11"/>
        <v>#REF!</v>
      </c>
      <c r="F291" s="13" t="e">
        <f t="shared" si="11"/>
        <v>#REF!</v>
      </c>
      <c r="G291" s="13" t="e">
        <f t="shared" si="11"/>
        <v>#REF!</v>
      </c>
      <c r="H291" s="13" t="e">
        <f t="shared" si="11"/>
        <v>#REF!</v>
      </c>
    </row>
    <row r="292" spans="2:8" x14ac:dyDescent="0.35">
      <c r="B292">
        <f t="shared" si="10"/>
        <v>6</v>
      </c>
      <c r="C292" s="13" t="e">
        <f t="shared" si="11"/>
        <v>#REF!</v>
      </c>
      <c r="D292" s="13" t="e">
        <f t="shared" si="11"/>
        <v>#REF!</v>
      </c>
      <c r="E292" s="13" t="e">
        <f t="shared" si="11"/>
        <v>#REF!</v>
      </c>
      <c r="F292" s="13" t="e">
        <f t="shared" si="11"/>
        <v>#REF!</v>
      </c>
      <c r="G292" s="13" t="e">
        <f t="shared" si="11"/>
        <v>#REF!</v>
      </c>
      <c r="H292" s="13" t="e">
        <f t="shared" si="11"/>
        <v>#REF!</v>
      </c>
    </row>
    <row r="293" spans="2:8" x14ac:dyDescent="0.35">
      <c r="B293">
        <f t="shared" si="10"/>
        <v>7</v>
      </c>
      <c r="C293" s="13" t="e">
        <f t="shared" si="11"/>
        <v>#REF!</v>
      </c>
      <c r="D293" s="13" t="e">
        <f t="shared" si="11"/>
        <v>#REF!</v>
      </c>
      <c r="E293" s="13" t="e">
        <f t="shared" si="11"/>
        <v>#REF!</v>
      </c>
      <c r="F293" s="13" t="e">
        <f t="shared" si="11"/>
        <v>#REF!</v>
      </c>
      <c r="G293" s="13" t="e">
        <f t="shared" si="11"/>
        <v>#REF!</v>
      </c>
      <c r="H293" s="13" t="e">
        <f t="shared" si="11"/>
        <v>#REF!</v>
      </c>
    </row>
    <row r="294" spans="2:8" x14ac:dyDescent="0.35">
      <c r="B294">
        <f t="shared" si="10"/>
        <v>8</v>
      </c>
      <c r="C294" s="13" t="e">
        <f t="shared" si="11"/>
        <v>#REF!</v>
      </c>
      <c r="D294" s="13" t="e">
        <f t="shared" si="11"/>
        <v>#REF!</v>
      </c>
      <c r="E294" s="13" t="e">
        <f t="shared" si="11"/>
        <v>#REF!</v>
      </c>
      <c r="F294" s="13" t="e">
        <f t="shared" si="11"/>
        <v>#REF!</v>
      </c>
      <c r="G294" s="13" t="e">
        <f t="shared" si="11"/>
        <v>#REF!</v>
      </c>
      <c r="H294" s="13" t="e">
        <f t="shared" si="11"/>
        <v>#REF!</v>
      </c>
    </row>
    <row r="295" spans="2:8" x14ac:dyDescent="0.35">
      <c r="B295">
        <f t="shared" si="10"/>
        <v>9</v>
      </c>
      <c r="C295" s="13" t="e">
        <f t="shared" si="11"/>
        <v>#REF!</v>
      </c>
      <c r="D295" s="13" t="e">
        <f t="shared" si="11"/>
        <v>#REF!</v>
      </c>
      <c r="E295" s="13" t="e">
        <f t="shared" si="11"/>
        <v>#REF!</v>
      </c>
      <c r="F295" s="13" t="e">
        <f t="shared" si="11"/>
        <v>#REF!</v>
      </c>
      <c r="G295" s="13" t="e">
        <f t="shared" si="11"/>
        <v>#REF!</v>
      </c>
      <c r="H295" s="13" t="e">
        <f t="shared" si="11"/>
        <v>#REF!</v>
      </c>
    </row>
    <row r="296" spans="2:8" x14ac:dyDescent="0.35">
      <c r="B296">
        <f t="shared" si="10"/>
        <v>10</v>
      </c>
      <c r="C296" s="13" t="e">
        <f t="shared" si="11"/>
        <v>#REF!</v>
      </c>
      <c r="D296" s="13" t="e">
        <f t="shared" si="11"/>
        <v>#REF!</v>
      </c>
      <c r="E296" s="13" t="e">
        <f t="shared" si="11"/>
        <v>#REF!</v>
      </c>
      <c r="F296" s="13" t="e">
        <f t="shared" si="11"/>
        <v>#REF!</v>
      </c>
      <c r="G296" s="13" t="e">
        <f t="shared" si="11"/>
        <v>#REF!</v>
      </c>
      <c r="H296" s="13" t="e">
        <f t="shared" si="11"/>
        <v>#REF!</v>
      </c>
    </row>
    <row r="297" spans="2:8" x14ac:dyDescent="0.35">
      <c r="B297">
        <f t="shared" si="10"/>
        <v>11</v>
      </c>
      <c r="C297" s="13" t="e">
        <f t="shared" ref="C297:H304" si="12">C191-C139</f>
        <v>#REF!</v>
      </c>
      <c r="D297" s="13" t="e">
        <f t="shared" si="12"/>
        <v>#REF!</v>
      </c>
      <c r="E297" s="13" t="e">
        <f t="shared" si="12"/>
        <v>#REF!</v>
      </c>
      <c r="F297" s="13" t="e">
        <f t="shared" si="12"/>
        <v>#REF!</v>
      </c>
      <c r="G297" s="13" t="e">
        <f t="shared" si="12"/>
        <v>#REF!</v>
      </c>
      <c r="H297" s="13" t="e">
        <f t="shared" si="12"/>
        <v>#REF!</v>
      </c>
    </row>
    <row r="298" spans="2:8" x14ac:dyDescent="0.35">
      <c r="B298">
        <f t="shared" si="10"/>
        <v>12</v>
      </c>
      <c r="C298" s="13" t="e">
        <f t="shared" si="12"/>
        <v>#REF!</v>
      </c>
      <c r="D298" s="13" t="e">
        <f t="shared" si="12"/>
        <v>#REF!</v>
      </c>
      <c r="E298" s="13" t="e">
        <f t="shared" si="12"/>
        <v>#REF!</v>
      </c>
      <c r="F298" s="13" t="e">
        <f t="shared" si="12"/>
        <v>#REF!</v>
      </c>
      <c r="G298" s="13" t="e">
        <f t="shared" si="12"/>
        <v>#REF!</v>
      </c>
      <c r="H298" s="13" t="e">
        <f t="shared" si="12"/>
        <v>#REF!</v>
      </c>
    </row>
    <row r="299" spans="2:8" x14ac:dyDescent="0.35">
      <c r="B299">
        <f t="shared" si="10"/>
        <v>13</v>
      </c>
      <c r="C299" s="13" t="e">
        <f t="shared" si="12"/>
        <v>#REF!</v>
      </c>
      <c r="D299" s="13" t="e">
        <f t="shared" si="12"/>
        <v>#REF!</v>
      </c>
      <c r="E299" s="13" t="e">
        <f t="shared" si="12"/>
        <v>#REF!</v>
      </c>
      <c r="F299" s="13" t="e">
        <f t="shared" si="12"/>
        <v>#REF!</v>
      </c>
      <c r="G299" s="13" t="e">
        <f t="shared" si="12"/>
        <v>#REF!</v>
      </c>
      <c r="H299" s="13" t="e">
        <f t="shared" si="12"/>
        <v>#REF!</v>
      </c>
    </row>
    <row r="300" spans="2:8" x14ac:dyDescent="0.35">
      <c r="B300">
        <f t="shared" si="10"/>
        <v>14</v>
      </c>
      <c r="C300" s="13" t="e">
        <f t="shared" si="12"/>
        <v>#REF!</v>
      </c>
      <c r="D300" s="13" t="e">
        <f t="shared" si="12"/>
        <v>#REF!</v>
      </c>
      <c r="E300" s="13" t="e">
        <f t="shared" si="12"/>
        <v>#REF!</v>
      </c>
      <c r="F300" s="13" t="e">
        <f t="shared" si="12"/>
        <v>#REF!</v>
      </c>
      <c r="G300" s="13" t="e">
        <f t="shared" si="12"/>
        <v>#REF!</v>
      </c>
      <c r="H300" s="13" t="e">
        <f t="shared" si="12"/>
        <v>#REF!</v>
      </c>
    </row>
    <row r="301" spans="2:8" x14ac:dyDescent="0.35">
      <c r="B301">
        <f t="shared" si="10"/>
        <v>15</v>
      </c>
      <c r="C301" s="13" t="e">
        <f t="shared" si="12"/>
        <v>#REF!</v>
      </c>
      <c r="D301" s="13" t="e">
        <f t="shared" si="12"/>
        <v>#REF!</v>
      </c>
      <c r="E301" s="13" t="e">
        <f t="shared" si="12"/>
        <v>#REF!</v>
      </c>
      <c r="F301" s="13" t="e">
        <f t="shared" si="12"/>
        <v>#REF!</v>
      </c>
      <c r="G301" s="13" t="e">
        <f t="shared" si="12"/>
        <v>#REF!</v>
      </c>
      <c r="H301" s="13" t="e">
        <f t="shared" si="12"/>
        <v>#REF!</v>
      </c>
    </row>
    <row r="302" spans="2:8" x14ac:dyDescent="0.35">
      <c r="B302">
        <f t="shared" si="10"/>
        <v>16</v>
      </c>
      <c r="C302" s="13" t="e">
        <f t="shared" si="12"/>
        <v>#REF!</v>
      </c>
      <c r="D302" s="13" t="e">
        <f t="shared" si="12"/>
        <v>#REF!</v>
      </c>
      <c r="E302" s="13" t="e">
        <f t="shared" si="12"/>
        <v>#REF!</v>
      </c>
      <c r="F302" s="13" t="e">
        <f t="shared" si="12"/>
        <v>#REF!</v>
      </c>
      <c r="G302" s="13" t="e">
        <f t="shared" si="12"/>
        <v>#REF!</v>
      </c>
      <c r="H302" s="13" t="e">
        <f t="shared" si="12"/>
        <v>#REF!</v>
      </c>
    </row>
    <row r="303" spans="2:8" x14ac:dyDescent="0.35">
      <c r="B303">
        <f t="shared" si="10"/>
        <v>17</v>
      </c>
      <c r="C303" s="13" t="e">
        <f t="shared" si="12"/>
        <v>#REF!</v>
      </c>
      <c r="D303" s="13" t="e">
        <f t="shared" si="12"/>
        <v>#REF!</v>
      </c>
      <c r="E303" s="13" t="e">
        <f t="shared" si="12"/>
        <v>#REF!</v>
      </c>
      <c r="F303" s="13" t="e">
        <f t="shared" si="12"/>
        <v>#REF!</v>
      </c>
      <c r="G303" s="13" t="e">
        <f t="shared" si="12"/>
        <v>#REF!</v>
      </c>
      <c r="H303" s="13" t="e">
        <f t="shared" si="12"/>
        <v>#REF!</v>
      </c>
    </row>
    <row r="304" spans="2:8" x14ac:dyDescent="0.35">
      <c r="B304">
        <f t="shared" si="10"/>
        <v>18</v>
      </c>
      <c r="C304" s="13" t="e">
        <f t="shared" si="12"/>
        <v>#REF!</v>
      </c>
      <c r="D304" s="13" t="e">
        <f t="shared" si="12"/>
        <v>#REF!</v>
      </c>
      <c r="E304" s="13" t="e">
        <f t="shared" si="12"/>
        <v>#REF!</v>
      </c>
      <c r="F304" s="13" t="e">
        <f t="shared" si="12"/>
        <v>#REF!</v>
      </c>
      <c r="G304" s="13" t="e">
        <f t="shared" si="12"/>
        <v>#REF!</v>
      </c>
      <c r="H304" s="13" t="e">
        <f t="shared" si="12"/>
        <v>#REF!</v>
      </c>
    </row>
    <row r="305" spans="2:8" x14ac:dyDescent="0.35">
      <c r="B305">
        <f t="shared" si="10"/>
        <v>19</v>
      </c>
      <c r="C305" s="13" t="e">
        <f t="shared" ref="C305:C334" si="13">C199-C147</f>
        <v>#REF!</v>
      </c>
      <c r="D305" s="13" t="e">
        <f t="shared" ref="D305" si="14">D199-D147</f>
        <v>#REF!</v>
      </c>
      <c r="E305" s="13" t="e">
        <f t="shared" ref="E305:H334" si="15">E199-E147</f>
        <v>#REF!</v>
      </c>
      <c r="F305" s="13" t="e">
        <f t="shared" si="15"/>
        <v>#REF!</v>
      </c>
      <c r="G305" s="13" t="e">
        <f t="shared" si="15"/>
        <v>#REF!</v>
      </c>
      <c r="H305" s="13" t="e">
        <f t="shared" si="15"/>
        <v>#REF!</v>
      </c>
    </row>
    <row r="306" spans="2:8" x14ac:dyDescent="0.35">
      <c r="B306">
        <f t="shared" si="10"/>
        <v>20</v>
      </c>
      <c r="C306" s="13" t="e">
        <f t="shared" si="13"/>
        <v>#REF!</v>
      </c>
      <c r="D306" s="13" t="e">
        <f>IF($D$11="no",D200-D148,(D200+D252)-D148)</f>
        <v>#REF!</v>
      </c>
      <c r="E306" s="13" t="e">
        <f t="shared" si="15"/>
        <v>#REF!</v>
      </c>
      <c r="F306" s="13" t="e">
        <f t="shared" si="15"/>
        <v>#REF!</v>
      </c>
      <c r="G306" s="13" t="e">
        <f t="shared" si="15"/>
        <v>#REF!</v>
      </c>
      <c r="H306" s="13" t="e">
        <f t="shared" si="15"/>
        <v>#REF!</v>
      </c>
    </row>
    <row r="307" spans="2:8" x14ac:dyDescent="0.35">
      <c r="B307">
        <f t="shared" si="10"/>
        <v>21</v>
      </c>
      <c r="C307" s="13" t="e">
        <f t="shared" si="13"/>
        <v>#REF!</v>
      </c>
      <c r="D307" s="13" t="e">
        <f t="shared" ref="D307:D321" si="16">IF($D$11="no",D201-D149,(D201+D253)-D149)</f>
        <v>#REF!</v>
      </c>
      <c r="E307" s="13" t="e">
        <f t="shared" si="15"/>
        <v>#REF!</v>
      </c>
      <c r="F307" s="13" t="e">
        <f t="shared" si="15"/>
        <v>#REF!</v>
      </c>
      <c r="G307" s="13" t="e">
        <f t="shared" si="15"/>
        <v>#REF!</v>
      </c>
      <c r="H307" s="13" t="e">
        <f t="shared" si="15"/>
        <v>#REF!</v>
      </c>
    </row>
    <row r="308" spans="2:8" x14ac:dyDescent="0.35">
      <c r="B308">
        <f t="shared" si="10"/>
        <v>22</v>
      </c>
      <c r="C308" s="13" t="e">
        <f t="shared" si="13"/>
        <v>#REF!</v>
      </c>
      <c r="D308" s="13" t="e">
        <f t="shared" si="16"/>
        <v>#REF!</v>
      </c>
      <c r="E308" s="13" t="e">
        <f t="shared" si="15"/>
        <v>#REF!</v>
      </c>
      <c r="F308" s="13" t="e">
        <f t="shared" si="15"/>
        <v>#REF!</v>
      </c>
      <c r="G308" s="13" t="e">
        <f t="shared" si="15"/>
        <v>#REF!</v>
      </c>
      <c r="H308" s="13" t="e">
        <f t="shared" si="15"/>
        <v>#REF!</v>
      </c>
    </row>
    <row r="309" spans="2:8" x14ac:dyDescent="0.35">
      <c r="B309">
        <f t="shared" si="10"/>
        <v>23</v>
      </c>
      <c r="C309" s="13" t="e">
        <f t="shared" si="13"/>
        <v>#REF!</v>
      </c>
      <c r="D309" s="13" t="e">
        <f t="shared" si="16"/>
        <v>#REF!</v>
      </c>
      <c r="E309" s="13" t="e">
        <f t="shared" si="15"/>
        <v>#REF!</v>
      </c>
      <c r="F309" s="13" t="e">
        <f t="shared" si="15"/>
        <v>#REF!</v>
      </c>
      <c r="G309" s="13" t="e">
        <f t="shared" si="15"/>
        <v>#REF!</v>
      </c>
      <c r="H309" s="13" t="e">
        <f t="shared" si="15"/>
        <v>#REF!</v>
      </c>
    </row>
    <row r="310" spans="2:8" x14ac:dyDescent="0.35">
      <c r="B310">
        <f t="shared" si="10"/>
        <v>24</v>
      </c>
      <c r="C310" s="13" t="e">
        <f t="shared" si="13"/>
        <v>#REF!</v>
      </c>
      <c r="D310" s="13" t="e">
        <f t="shared" si="16"/>
        <v>#REF!</v>
      </c>
      <c r="E310" s="13" t="e">
        <f t="shared" si="15"/>
        <v>#REF!</v>
      </c>
      <c r="F310" s="13" t="e">
        <f t="shared" si="15"/>
        <v>#REF!</v>
      </c>
      <c r="G310" s="13" t="e">
        <f t="shared" si="15"/>
        <v>#REF!</v>
      </c>
      <c r="H310" s="13" t="e">
        <f t="shared" si="15"/>
        <v>#REF!</v>
      </c>
    </row>
    <row r="311" spans="2:8" x14ac:dyDescent="0.35">
      <c r="B311">
        <f t="shared" si="10"/>
        <v>25</v>
      </c>
      <c r="C311" s="13" t="e">
        <f t="shared" si="13"/>
        <v>#REF!</v>
      </c>
      <c r="D311" s="13" t="e">
        <f t="shared" si="16"/>
        <v>#REF!</v>
      </c>
      <c r="E311" s="13" t="e">
        <f t="shared" si="15"/>
        <v>#REF!</v>
      </c>
      <c r="F311" s="13" t="e">
        <f t="shared" si="15"/>
        <v>#REF!</v>
      </c>
      <c r="G311" s="13" t="e">
        <f t="shared" si="15"/>
        <v>#REF!</v>
      </c>
      <c r="H311" s="13" t="e">
        <f t="shared" si="15"/>
        <v>#REF!</v>
      </c>
    </row>
    <row r="312" spans="2:8" x14ac:dyDescent="0.35">
      <c r="B312">
        <f t="shared" si="10"/>
        <v>26</v>
      </c>
      <c r="C312" s="13" t="e">
        <f t="shared" si="13"/>
        <v>#REF!</v>
      </c>
      <c r="D312" s="13" t="e">
        <f t="shared" si="16"/>
        <v>#REF!</v>
      </c>
      <c r="E312" s="13" t="e">
        <f t="shared" si="15"/>
        <v>#REF!</v>
      </c>
      <c r="F312" s="13" t="e">
        <f t="shared" si="15"/>
        <v>#REF!</v>
      </c>
      <c r="G312" s="13" t="e">
        <f t="shared" si="15"/>
        <v>#REF!</v>
      </c>
      <c r="H312" s="13" t="e">
        <f t="shared" si="15"/>
        <v>#REF!</v>
      </c>
    </row>
    <row r="313" spans="2:8" x14ac:dyDescent="0.35">
      <c r="B313">
        <f t="shared" si="10"/>
        <v>27</v>
      </c>
      <c r="C313" s="13" t="e">
        <f t="shared" si="13"/>
        <v>#REF!</v>
      </c>
      <c r="D313" s="13" t="e">
        <f t="shared" si="16"/>
        <v>#REF!</v>
      </c>
      <c r="E313" s="13" t="e">
        <f t="shared" si="15"/>
        <v>#REF!</v>
      </c>
      <c r="F313" s="13" t="e">
        <f t="shared" si="15"/>
        <v>#REF!</v>
      </c>
      <c r="G313" s="13" t="e">
        <f t="shared" si="15"/>
        <v>#REF!</v>
      </c>
      <c r="H313" s="13" t="e">
        <f t="shared" si="15"/>
        <v>#REF!</v>
      </c>
    </row>
    <row r="314" spans="2:8" x14ac:dyDescent="0.35">
      <c r="B314">
        <f t="shared" si="10"/>
        <v>28</v>
      </c>
      <c r="C314" s="13" t="e">
        <f t="shared" si="13"/>
        <v>#REF!</v>
      </c>
      <c r="D314" s="13" t="e">
        <f t="shared" si="16"/>
        <v>#REF!</v>
      </c>
      <c r="E314" s="13" t="e">
        <f t="shared" si="15"/>
        <v>#REF!</v>
      </c>
      <c r="F314" s="13" t="e">
        <f t="shared" si="15"/>
        <v>#REF!</v>
      </c>
      <c r="G314" s="13" t="e">
        <f t="shared" si="15"/>
        <v>#REF!</v>
      </c>
      <c r="H314" s="13" t="e">
        <f t="shared" si="15"/>
        <v>#REF!</v>
      </c>
    </row>
    <row r="315" spans="2:8" x14ac:dyDescent="0.35">
      <c r="B315">
        <f t="shared" si="10"/>
        <v>29</v>
      </c>
      <c r="C315" s="13" t="e">
        <f t="shared" si="13"/>
        <v>#REF!</v>
      </c>
      <c r="D315" s="13" t="e">
        <f t="shared" si="16"/>
        <v>#REF!</v>
      </c>
      <c r="E315" s="13" t="e">
        <f t="shared" si="15"/>
        <v>#REF!</v>
      </c>
      <c r="F315" s="13" t="e">
        <f t="shared" si="15"/>
        <v>#REF!</v>
      </c>
      <c r="G315" s="13" t="e">
        <f t="shared" si="15"/>
        <v>#REF!</v>
      </c>
      <c r="H315" s="13" t="e">
        <f t="shared" si="15"/>
        <v>#REF!</v>
      </c>
    </row>
    <row r="316" spans="2:8" x14ac:dyDescent="0.35">
      <c r="B316">
        <f t="shared" si="10"/>
        <v>30</v>
      </c>
      <c r="C316" s="13" t="e">
        <f t="shared" si="13"/>
        <v>#REF!</v>
      </c>
      <c r="D316" s="13" t="e">
        <f t="shared" si="16"/>
        <v>#REF!</v>
      </c>
      <c r="E316" s="13" t="e">
        <f t="shared" si="15"/>
        <v>#REF!</v>
      </c>
      <c r="F316" s="13" t="e">
        <f t="shared" si="15"/>
        <v>#REF!</v>
      </c>
      <c r="G316" s="13" t="e">
        <f t="shared" si="15"/>
        <v>#REF!</v>
      </c>
      <c r="H316" s="13" t="e">
        <f t="shared" si="15"/>
        <v>#REF!</v>
      </c>
    </row>
    <row r="317" spans="2:8" x14ac:dyDescent="0.35">
      <c r="B317">
        <f t="shared" si="10"/>
        <v>31</v>
      </c>
      <c r="C317" s="13" t="e">
        <f t="shared" si="13"/>
        <v>#REF!</v>
      </c>
      <c r="D317" s="13" t="e">
        <f t="shared" si="16"/>
        <v>#REF!</v>
      </c>
      <c r="E317" s="13" t="e">
        <f t="shared" si="15"/>
        <v>#REF!</v>
      </c>
      <c r="F317" s="13" t="e">
        <f t="shared" si="15"/>
        <v>#REF!</v>
      </c>
      <c r="G317" s="13" t="e">
        <f t="shared" si="15"/>
        <v>#REF!</v>
      </c>
      <c r="H317" s="13" t="e">
        <f t="shared" si="15"/>
        <v>#REF!</v>
      </c>
    </row>
    <row r="318" spans="2:8" x14ac:dyDescent="0.35">
      <c r="B318">
        <f t="shared" si="10"/>
        <v>32</v>
      </c>
      <c r="C318" s="13" t="e">
        <f t="shared" si="13"/>
        <v>#REF!</v>
      </c>
      <c r="D318" s="13" t="e">
        <f t="shared" si="16"/>
        <v>#REF!</v>
      </c>
      <c r="E318" s="13" t="e">
        <f t="shared" si="15"/>
        <v>#REF!</v>
      </c>
      <c r="F318" s="13" t="e">
        <f t="shared" si="15"/>
        <v>#REF!</v>
      </c>
      <c r="G318" s="13" t="e">
        <f t="shared" si="15"/>
        <v>#REF!</v>
      </c>
      <c r="H318" s="13" t="e">
        <f t="shared" si="15"/>
        <v>#REF!</v>
      </c>
    </row>
    <row r="319" spans="2:8" x14ac:dyDescent="0.35">
      <c r="B319">
        <f t="shared" si="10"/>
        <v>33</v>
      </c>
      <c r="C319" s="13" t="e">
        <f t="shared" si="13"/>
        <v>#REF!</v>
      </c>
      <c r="D319" s="13" t="e">
        <f t="shared" si="16"/>
        <v>#REF!</v>
      </c>
      <c r="E319" s="13" t="e">
        <f t="shared" si="15"/>
        <v>#REF!</v>
      </c>
      <c r="F319" s="13" t="e">
        <f t="shared" si="15"/>
        <v>#REF!</v>
      </c>
      <c r="G319" s="13" t="e">
        <f t="shared" si="15"/>
        <v>#REF!</v>
      </c>
      <c r="H319" s="13" t="e">
        <f t="shared" si="15"/>
        <v>#REF!</v>
      </c>
    </row>
    <row r="320" spans="2:8" x14ac:dyDescent="0.35">
      <c r="B320">
        <f t="shared" si="10"/>
        <v>34</v>
      </c>
      <c r="C320" s="13" t="e">
        <f t="shared" si="13"/>
        <v>#REF!</v>
      </c>
      <c r="D320" s="13" t="e">
        <f t="shared" si="16"/>
        <v>#REF!</v>
      </c>
      <c r="E320" s="13" t="e">
        <f t="shared" si="15"/>
        <v>#REF!</v>
      </c>
      <c r="F320" s="13" t="e">
        <f t="shared" si="15"/>
        <v>#REF!</v>
      </c>
      <c r="G320" s="13" t="e">
        <f t="shared" si="15"/>
        <v>#REF!</v>
      </c>
      <c r="H320" s="13" t="e">
        <f t="shared" si="15"/>
        <v>#REF!</v>
      </c>
    </row>
    <row r="321" spans="2:8" x14ac:dyDescent="0.35">
      <c r="B321">
        <f t="shared" si="10"/>
        <v>35</v>
      </c>
      <c r="C321" s="13" t="e">
        <f t="shared" si="13"/>
        <v>#REF!</v>
      </c>
      <c r="D321" s="13" t="e">
        <f t="shared" si="16"/>
        <v>#REF!</v>
      </c>
      <c r="E321" s="13" t="e">
        <f t="shared" si="15"/>
        <v>#REF!</v>
      </c>
      <c r="F321" s="13" t="e">
        <f t="shared" si="15"/>
        <v>#REF!</v>
      </c>
      <c r="G321" s="13" t="e">
        <f t="shared" si="15"/>
        <v>#REF!</v>
      </c>
      <c r="H321" s="13" t="e">
        <f t="shared" si="15"/>
        <v>#REF!</v>
      </c>
    </row>
    <row r="322" spans="2:8" x14ac:dyDescent="0.35">
      <c r="B322">
        <f t="shared" si="10"/>
        <v>36</v>
      </c>
      <c r="C322" s="13" t="e">
        <f t="shared" si="13"/>
        <v>#REF!</v>
      </c>
      <c r="D322" s="13"/>
      <c r="E322" s="13" t="e">
        <f t="shared" si="15"/>
        <v>#REF!</v>
      </c>
      <c r="F322" s="13" t="e">
        <f t="shared" si="15"/>
        <v>#REF!</v>
      </c>
      <c r="G322" s="13" t="e">
        <f t="shared" si="15"/>
        <v>#REF!</v>
      </c>
      <c r="H322" s="13" t="e">
        <f t="shared" si="15"/>
        <v>#REF!</v>
      </c>
    </row>
    <row r="323" spans="2:8" x14ac:dyDescent="0.35">
      <c r="B323">
        <f t="shared" si="10"/>
        <v>37</v>
      </c>
      <c r="C323" s="13" t="e">
        <f t="shared" si="13"/>
        <v>#REF!</v>
      </c>
      <c r="D323" s="13"/>
      <c r="E323" s="13" t="e">
        <f t="shared" si="15"/>
        <v>#REF!</v>
      </c>
      <c r="F323" s="13" t="e">
        <f t="shared" si="15"/>
        <v>#REF!</v>
      </c>
      <c r="G323" s="13" t="e">
        <f t="shared" si="15"/>
        <v>#REF!</v>
      </c>
      <c r="H323" s="13" t="e">
        <f t="shared" si="15"/>
        <v>#REF!</v>
      </c>
    </row>
    <row r="324" spans="2:8" x14ac:dyDescent="0.35">
      <c r="B324">
        <f t="shared" si="10"/>
        <v>38</v>
      </c>
      <c r="C324" s="13" t="e">
        <f t="shared" si="13"/>
        <v>#REF!</v>
      </c>
      <c r="D324" s="13"/>
      <c r="E324" s="13" t="e">
        <f t="shared" si="15"/>
        <v>#REF!</v>
      </c>
      <c r="F324" s="13" t="e">
        <f t="shared" si="15"/>
        <v>#REF!</v>
      </c>
      <c r="G324" s="13" t="e">
        <f t="shared" si="15"/>
        <v>#REF!</v>
      </c>
      <c r="H324" s="13" t="e">
        <f t="shared" si="15"/>
        <v>#REF!</v>
      </c>
    </row>
    <row r="325" spans="2:8" x14ac:dyDescent="0.35">
      <c r="B325">
        <f t="shared" si="10"/>
        <v>39</v>
      </c>
      <c r="C325" s="13" t="e">
        <f t="shared" si="13"/>
        <v>#REF!</v>
      </c>
      <c r="D325" s="13"/>
      <c r="E325" s="13" t="e">
        <f t="shared" si="15"/>
        <v>#REF!</v>
      </c>
      <c r="F325" s="13" t="e">
        <f t="shared" si="15"/>
        <v>#REF!</v>
      </c>
      <c r="G325" s="13" t="e">
        <f t="shared" si="15"/>
        <v>#REF!</v>
      </c>
      <c r="H325" s="13" t="e">
        <f t="shared" si="15"/>
        <v>#REF!</v>
      </c>
    </row>
    <row r="326" spans="2:8" x14ac:dyDescent="0.35">
      <c r="B326">
        <f t="shared" si="10"/>
        <v>40</v>
      </c>
      <c r="C326" s="13" t="e">
        <f t="shared" si="13"/>
        <v>#REF!</v>
      </c>
      <c r="D326" s="13"/>
      <c r="E326" s="13" t="e">
        <f t="shared" si="15"/>
        <v>#REF!</v>
      </c>
      <c r="F326" s="13" t="e">
        <f t="shared" si="15"/>
        <v>#REF!</v>
      </c>
      <c r="G326" s="13" t="e">
        <f t="shared" si="15"/>
        <v>#REF!</v>
      </c>
      <c r="H326" s="13" t="e">
        <f t="shared" si="15"/>
        <v>#REF!</v>
      </c>
    </row>
    <row r="327" spans="2:8" x14ac:dyDescent="0.35">
      <c r="B327">
        <f t="shared" si="10"/>
        <v>41</v>
      </c>
      <c r="C327" s="13" t="e">
        <f t="shared" si="13"/>
        <v>#REF!</v>
      </c>
      <c r="D327" s="13"/>
      <c r="E327" s="13" t="e">
        <f t="shared" si="15"/>
        <v>#REF!</v>
      </c>
      <c r="F327" s="13" t="e">
        <f t="shared" si="15"/>
        <v>#REF!</v>
      </c>
      <c r="G327" s="13" t="e">
        <f t="shared" si="15"/>
        <v>#REF!</v>
      </c>
      <c r="H327" s="13" t="e">
        <f t="shared" si="15"/>
        <v>#REF!</v>
      </c>
    </row>
    <row r="328" spans="2:8" x14ac:dyDescent="0.35">
      <c r="B328">
        <f t="shared" si="10"/>
        <v>42</v>
      </c>
      <c r="C328" s="13" t="e">
        <f t="shared" si="13"/>
        <v>#REF!</v>
      </c>
      <c r="D328" s="13"/>
      <c r="E328" s="13" t="e">
        <f t="shared" si="15"/>
        <v>#REF!</v>
      </c>
      <c r="F328" s="13" t="e">
        <f t="shared" si="15"/>
        <v>#REF!</v>
      </c>
      <c r="G328" s="13" t="e">
        <f t="shared" si="15"/>
        <v>#REF!</v>
      </c>
      <c r="H328" s="13" t="e">
        <f t="shared" si="15"/>
        <v>#REF!</v>
      </c>
    </row>
    <row r="329" spans="2:8" x14ac:dyDescent="0.35">
      <c r="B329">
        <f t="shared" si="10"/>
        <v>43</v>
      </c>
      <c r="C329" s="13" t="e">
        <f t="shared" si="13"/>
        <v>#REF!</v>
      </c>
      <c r="D329" s="13"/>
      <c r="E329" s="13" t="e">
        <f t="shared" si="15"/>
        <v>#REF!</v>
      </c>
      <c r="F329" s="13" t="e">
        <f t="shared" si="15"/>
        <v>#REF!</v>
      </c>
      <c r="G329" s="13" t="e">
        <f t="shared" si="15"/>
        <v>#REF!</v>
      </c>
      <c r="H329" s="13" t="e">
        <f t="shared" si="15"/>
        <v>#REF!</v>
      </c>
    </row>
    <row r="330" spans="2:8" x14ac:dyDescent="0.35">
      <c r="B330">
        <f t="shared" si="10"/>
        <v>44</v>
      </c>
      <c r="C330" s="13" t="e">
        <f t="shared" si="13"/>
        <v>#REF!</v>
      </c>
      <c r="D330" s="13"/>
      <c r="E330" s="13" t="e">
        <f t="shared" si="15"/>
        <v>#REF!</v>
      </c>
      <c r="F330" s="13" t="e">
        <f t="shared" si="15"/>
        <v>#REF!</v>
      </c>
      <c r="G330" s="13" t="e">
        <f t="shared" si="15"/>
        <v>#REF!</v>
      </c>
      <c r="H330" s="13" t="e">
        <f t="shared" si="15"/>
        <v>#REF!</v>
      </c>
    </row>
    <row r="331" spans="2:8" x14ac:dyDescent="0.35">
      <c r="B331">
        <f t="shared" si="10"/>
        <v>45</v>
      </c>
      <c r="C331" s="13" t="e">
        <f t="shared" si="13"/>
        <v>#REF!</v>
      </c>
      <c r="D331" s="13"/>
      <c r="E331" s="13" t="e">
        <f t="shared" si="15"/>
        <v>#REF!</v>
      </c>
      <c r="F331" s="13" t="e">
        <f t="shared" si="15"/>
        <v>#REF!</v>
      </c>
      <c r="G331" s="13" t="e">
        <f t="shared" si="15"/>
        <v>#REF!</v>
      </c>
      <c r="H331" s="13" t="e">
        <f t="shared" si="15"/>
        <v>#REF!</v>
      </c>
    </row>
    <row r="332" spans="2:8" x14ac:dyDescent="0.35">
      <c r="B332">
        <f t="shared" si="10"/>
        <v>46</v>
      </c>
      <c r="C332" s="13" t="e">
        <f t="shared" si="13"/>
        <v>#REF!</v>
      </c>
      <c r="D332" s="13"/>
      <c r="E332" s="13" t="e">
        <f t="shared" si="15"/>
        <v>#REF!</v>
      </c>
      <c r="F332" s="13" t="e">
        <f t="shared" si="15"/>
        <v>#REF!</v>
      </c>
      <c r="G332" s="13" t="e">
        <f t="shared" si="15"/>
        <v>#REF!</v>
      </c>
      <c r="H332" s="13" t="e">
        <f t="shared" si="15"/>
        <v>#REF!</v>
      </c>
    </row>
    <row r="333" spans="2:8" x14ac:dyDescent="0.35">
      <c r="B333">
        <f t="shared" si="10"/>
        <v>47</v>
      </c>
      <c r="C333" s="13" t="e">
        <f t="shared" si="13"/>
        <v>#REF!</v>
      </c>
      <c r="D333" s="13"/>
      <c r="E333" s="13" t="e">
        <f t="shared" si="15"/>
        <v>#REF!</v>
      </c>
      <c r="F333" s="13" t="e">
        <f t="shared" si="15"/>
        <v>#REF!</v>
      </c>
      <c r="G333" s="13" t="e">
        <f t="shared" si="15"/>
        <v>#REF!</v>
      </c>
      <c r="H333" s="13" t="e">
        <f t="shared" si="15"/>
        <v>#REF!</v>
      </c>
    </row>
    <row r="334" spans="2:8" x14ac:dyDescent="0.35">
      <c r="B334">
        <f t="shared" si="10"/>
        <v>48</v>
      </c>
      <c r="C334" s="13" t="e">
        <f t="shared" si="13"/>
        <v>#REF!</v>
      </c>
      <c r="D334" s="13"/>
      <c r="E334" s="13" t="e">
        <f t="shared" si="15"/>
        <v>#REF!</v>
      </c>
      <c r="F334" s="13" t="e">
        <f t="shared" si="15"/>
        <v>#REF!</v>
      </c>
      <c r="G334" s="13" t="e">
        <f t="shared" si="15"/>
        <v>#REF!</v>
      </c>
      <c r="H334" s="13" t="e">
        <f t="shared" si="15"/>
        <v>#REF!</v>
      </c>
    </row>
    <row r="335" spans="2:8" x14ac:dyDescent="0.35">
      <c r="C335" s="13" t="e">
        <f>C230-C177</f>
        <v>#REF!</v>
      </c>
      <c r="D335" s="13"/>
      <c r="E335" s="13" t="e">
        <f>E230-E177</f>
        <v>#REF!</v>
      </c>
      <c r="F335" s="13" t="e">
        <f>F230-F177</f>
        <v>#REF!</v>
      </c>
      <c r="G335" s="13" t="e">
        <f>G230-G177</f>
        <v>#REF!</v>
      </c>
      <c r="H335" s="13" t="e">
        <f>H230-H177</f>
        <v>#REF!</v>
      </c>
    </row>
    <row r="336" spans="2:8" x14ac:dyDescent="0.35">
      <c r="C336" s="13"/>
      <c r="D336" s="43"/>
      <c r="E336" s="13"/>
      <c r="F336" s="13"/>
      <c r="G336" s="13"/>
      <c r="H336" s="13"/>
    </row>
    <row r="337" spans="3:8" x14ac:dyDescent="0.35">
      <c r="C337" s="13"/>
      <c r="E337" s="13"/>
      <c r="F337" s="13"/>
      <c r="G337" s="13"/>
      <c r="H337" s="13"/>
    </row>
    <row r="338" spans="3:8" x14ac:dyDescent="0.35">
      <c r="C338" s="13"/>
      <c r="D338" s="13"/>
      <c r="E338" s="13"/>
      <c r="F338" s="13"/>
      <c r="G338" s="13"/>
      <c r="H338" s="13"/>
    </row>
    <row r="339" spans="3:8" x14ac:dyDescent="0.35">
      <c r="C339" s="13"/>
      <c r="D339" s="13"/>
      <c r="E339" s="13"/>
      <c r="F339" s="13"/>
      <c r="G339" s="13"/>
      <c r="H339" s="13"/>
    </row>
    <row r="340" spans="3:8" x14ac:dyDescent="0.35">
      <c r="C340" s="13"/>
      <c r="D340" s="13"/>
      <c r="E340" s="13"/>
      <c r="F340" s="13"/>
      <c r="G340" s="13"/>
      <c r="H340" s="13"/>
    </row>
    <row r="341" spans="3:8" x14ac:dyDescent="0.35">
      <c r="C341" s="13"/>
      <c r="D341" s="13"/>
      <c r="E341" s="13"/>
      <c r="F341" s="13"/>
      <c r="G341" s="13"/>
      <c r="H341" s="13"/>
    </row>
    <row r="342" spans="3:8" x14ac:dyDescent="0.35">
      <c r="C342" s="13"/>
      <c r="D342" s="13"/>
      <c r="E342" s="13"/>
      <c r="F342" s="13"/>
      <c r="G342" s="13"/>
      <c r="H342" s="13"/>
    </row>
    <row r="343" spans="3:8" x14ac:dyDescent="0.35">
      <c r="C343" s="13"/>
      <c r="D343" s="13"/>
      <c r="E343" s="13"/>
      <c r="F343" s="13"/>
      <c r="G343" s="13"/>
      <c r="H343" s="13"/>
    </row>
    <row r="344" spans="3:8" x14ac:dyDescent="0.35">
      <c r="C344" s="13"/>
      <c r="D344" s="13"/>
      <c r="E344" s="13"/>
      <c r="F344" s="13"/>
      <c r="G344" s="13"/>
      <c r="H344" s="13"/>
    </row>
    <row r="345" spans="3:8" x14ac:dyDescent="0.35">
      <c r="C345" s="13"/>
      <c r="D345" s="13"/>
      <c r="E345" s="13"/>
      <c r="F345" s="13"/>
    </row>
  </sheetData>
  <mergeCells count="2">
    <mergeCell ref="C10:H10"/>
    <mergeCell ref="C8:H8"/>
  </mergeCells>
  <conditionalFormatting sqref="C19:H19">
    <cfRule type="cellIs" dxfId="3" priority="1" operator="lessThan">
      <formula>1</formula>
    </cfRule>
  </conditionalFormatting>
  <conditionalFormatting sqref="C20:H20">
    <cfRule type="cellIs" dxfId="2" priority="4" operator="lessThan">
      <formula>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Assumptions!$I$30:$L$30</xm:f>
          </x14:formula1>
          <xm:sqref>C8</xm:sqref>
        </x14:dataValidation>
        <x14:dataValidation type="list" allowBlank="1" showInputMessage="1" showErrorMessage="1" xr:uid="{21E59428-3136-4D03-A2F5-D78736F9253B}">
          <x14:formula1>
            <xm:f>Assumptions!$B$105:$B$107</xm:f>
          </x14:formula1>
          <xm:sqref>D13</xm:sqref>
        </x14:dataValidation>
        <x14:dataValidation type="list" allowBlank="1" showInputMessage="1" showErrorMessage="1" xr:uid="{12D6F5EE-15B7-48F2-9EBC-1B6D81B23FF3}">
          <x14:formula1>
            <xm:f>Assumptions!$B$101:$B$103</xm:f>
          </x14:formula1>
          <xm:sqref>C10</xm:sqref>
        </x14:dataValidation>
        <x14:dataValidation type="list" allowBlank="1" showInputMessage="1" showErrorMessage="1" xr:uid="{680176EA-6222-4DAE-9A2A-1BC95A27C030}">
          <x14:formula1>
            <xm:f>Assumptions!$B$108:$B$109</xm:f>
          </x14:formula1>
          <xm:sqref>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327A-3512-428E-9808-B9D38163A8D8}">
  <sheetPr>
    <tabColor rgb="FFC00000"/>
  </sheetPr>
  <dimension ref="A2:Z62"/>
  <sheetViews>
    <sheetView tabSelected="1" workbookViewId="0">
      <selection activeCell="I14" sqref="I14"/>
    </sheetView>
  </sheetViews>
  <sheetFormatPr defaultColWidth="8.7265625" defaultRowHeight="14.5" x14ac:dyDescent="0.35"/>
  <cols>
    <col min="1" max="1" width="37.7265625" bestFit="1" customWidth="1"/>
    <col min="2" max="2" width="16.1796875" bestFit="1" customWidth="1"/>
    <col min="3" max="3" width="11.1796875" customWidth="1"/>
    <col min="5" max="5" width="21.54296875" customWidth="1"/>
    <col min="6" max="6" width="15.1796875" bestFit="1" customWidth="1"/>
    <col min="7" max="7" width="12.54296875" bestFit="1" customWidth="1"/>
  </cols>
  <sheetData>
    <row r="2" spans="1:11" x14ac:dyDescent="0.35">
      <c r="A2" s="1" t="s">
        <v>281</v>
      </c>
      <c r="B2" s="40" t="s">
        <v>246</v>
      </c>
      <c r="C2" s="41" t="s">
        <v>247</v>
      </c>
      <c r="E2" s="371" t="s">
        <v>282</v>
      </c>
      <c r="F2" s="372"/>
    </row>
    <row r="3" spans="1:11" ht="14.5" customHeight="1" x14ac:dyDescent="0.35">
      <c r="A3" s="2" t="s">
        <v>252</v>
      </c>
      <c r="B3" s="83">
        <v>1400</v>
      </c>
      <c r="C3" s="309">
        <v>1400</v>
      </c>
      <c r="E3" s="373" t="s">
        <v>283</v>
      </c>
      <c r="F3" s="374"/>
    </row>
    <row r="4" spans="1:11" ht="14.5" customHeight="1" x14ac:dyDescent="0.35">
      <c r="A4" s="3" t="s">
        <v>254</v>
      </c>
      <c r="B4" s="310"/>
      <c r="C4" s="72"/>
      <c r="E4" s="56" t="s">
        <v>284</v>
      </c>
      <c r="F4" s="311">
        <f>SUM(F5,F6,F7,F8)</f>
        <v>330000</v>
      </c>
    </row>
    <row r="5" spans="1:11" x14ac:dyDescent="0.35">
      <c r="A5" s="4" t="s">
        <v>255</v>
      </c>
      <c r="B5" s="312">
        <v>0.1</v>
      </c>
      <c r="C5" s="313">
        <v>0</v>
      </c>
      <c r="E5" s="58" t="s">
        <v>285</v>
      </c>
      <c r="F5" s="314">
        <f>C58</f>
        <v>50000</v>
      </c>
    </row>
    <row r="6" spans="1:11" x14ac:dyDescent="0.35">
      <c r="A6" s="2" t="s">
        <v>258</v>
      </c>
      <c r="B6" s="315">
        <v>1</v>
      </c>
      <c r="C6" s="316">
        <v>1</v>
      </c>
      <c r="E6" s="58" t="s">
        <v>286</v>
      </c>
      <c r="F6" s="314">
        <f>C56</f>
        <v>75000</v>
      </c>
    </row>
    <row r="7" spans="1:11" x14ac:dyDescent="0.35">
      <c r="A7" s="2" t="s">
        <v>259</v>
      </c>
      <c r="B7" s="317" t="s">
        <v>287</v>
      </c>
      <c r="C7" s="318" t="s">
        <v>288</v>
      </c>
      <c r="E7" s="58" t="s">
        <v>289</v>
      </c>
      <c r="F7" s="314">
        <f>C59</f>
        <v>155000</v>
      </c>
    </row>
    <row r="8" spans="1:11" x14ac:dyDescent="0.35">
      <c r="A8" s="2" t="s">
        <v>261</v>
      </c>
      <c r="B8" s="84"/>
      <c r="C8" s="319"/>
      <c r="E8" s="58" t="s">
        <v>290</v>
      </c>
      <c r="F8" s="314">
        <f>C57</f>
        <v>50000</v>
      </c>
      <c r="K8" s="59"/>
    </row>
    <row r="9" spans="1:11" x14ac:dyDescent="0.35">
      <c r="A9" s="2" t="s">
        <v>264</v>
      </c>
      <c r="B9" s="320" t="s">
        <v>211</v>
      </c>
      <c r="C9" s="320" t="s">
        <v>238</v>
      </c>
      <c r="E9" s="57" t="s">
        <v>291</v>
      </c>
      <c r="F9" s="321">
        <f>1-F8/F4</f>
        <v>0.84848484848484851</v>
      </c>
    </row>
    <row r="10" spans="1:11" x14ac:dyDescent="0.35">
      <c r="A10" s="2" t="s">
        <v>265</v>
      </c>
      <c r="B10" s="322"/>
      <c r="C10" s="322"/>
      <c r="E10" s="373" t="s">
        <v>292</v>
      </c>
      <c r="F10" s="374"/>
    </row>
    <row r="11" spans="1:11" x14ac:dyDescent="0.35">
      <c r="A11" s="2" t="s">
        <v>266</v>
      </c>
      <c r="B11" s="13">
        <v>1</v>
      </c>
      <c r="C11" s="13">
        <v>1</v>
      </c>
      <c r="E11" s="58" t="s">
        <v>293</v>
      </c>
      <c r="F11" s="323">
        <v>0</v>
      </c>
    </row>
    <row r="12" spans="1:11" x14ac:dyDescent="0.35">
      <c r="A12" s="2" t="s">
        <v>267</v>
      </c>
      <c r="C12" s="324" t="s">
        <v>123</v>
      </c>
      <c r="E12" s="58" t="s">
        <v>294</v>
      </c>
      <c r="F12" s="325" t="s">
        <v>295</v>
      </c>
      <c r="H12" s="121"/>
    </row>
    <row r="13" spans="1:11" x14ac:dyDescent="0.35">
      <c r="A13" s="3" t="s">
        <v>268</v>
      </c>
      <c r="B13">
        <v>50</v>
      </c>
      <c r="C13">
        <v>28</v>
      </c>
      <c r="E13" s="58" t="s">
        <v>296</v>
      </c>
      <c r="F13" s="323">
        <v>-1.85</v>
      </c>
      <c r="H13" s="121"/>
    </row>
    <row r="14" spans="1:11" x14ac:dyDescent="0.35">
      <c r="A14" s="4" t="s">
        <v>199</v>
      </c>
      <c r="B14" s="121">
        <v>2418.6573680170172</v>
      </c>
      <c r="C14" s="121">
        <v>2320.9941554802563</v>
      </c>
      <c r="E14" s="58" t="s">
        <v>297</v>
      </c>
      <c r="F14" s="323">
        <v>-10.5</v>
      </c>
      <c r="H14" s="121"/>
    </row>
    <row r="15" spans="1:11" x14ac:dyDescent="0.35">
      <c r="A15" s="2" t="s">
        <v>194</v>
      </c>
      <c r="B15" s="121">
        <v>8897.528526825261</v>
      </c>
      <c r="C15" s="121">
        <v>6232.552076475381</v>
      </c>
      <c r="E15" s="140">
        <v>2050</v>
      </c>
      <c r="F15" s="326">
        <v>-5.0999999999999996</v>
      </c>
      <c r="H15" s="327"/>
    </row>
    <row r="16" spans="1:11" x14ac:dyDescent="0.35">
      <c r="A16" s="2" t="s">
        <v>270</v>
      </c>
      <c r="B16" s="121">
        <v>3476.5160484890057</v>
      </c>
      <c r="C16" s="121">
        <v>3476.5160484890057</v>
      </c>
    </row>
    <row r="17" spans="1:3" x14ac:dyDescent="0.35">
      <c r="A17" s="4" t="s">
        <v>271</v>
      </c>
      <c r="B17" s="237">
        <v>6478.8711588082442</v>
      </c>
      <c r="C17" s="237">
        <v>3911.5579209951247</v>
      </c>
    </row>
    <row r="18" spans="1:3" x14ac:dyDescent="0.35">
      <c r="A18" s="9" t="s">
        <v>272</v>
      </c>
      <c r="B18" s="328">
        <v>3.6787056506974656</v>
      </c>
      <c r="C18" s="329">
        <v>2.6852941709307112</v>
      </c>
    </row>
    <row r="19" spans="1:3" x14ac:dyDescent="0.35">
      <c r="A19" s="9" t="s">
        <v>273</v>
      </c>
      <c r="B19" s="330">
        <v>0.26818958552667005</v>
      </c>
      <c r="C19" s="330">
        <v>0.10732032095544874</v>
      </c>
    </row>
    <row r="21" spans="1:3" x14ac:dyDescent="0.35">
      <c r="A21" s="1" t="s">
        <v>298</v>
      </c>
      <c r="B21" s="1"/>
      <c r="C21" s="1"/>
    </row>
    <row r="22" spans="1:3" x14ac:dyDescent="0.35">
      <c r="A22" s="38" t="s">
        <v>299</v>
      </c>
      <c r="B22" s="38" t="s">
        <v>123</v>
      </c>
      <c r="C22" t="s">
        <v>123</v>
      </c>
    </row>
    <row r="23" spans="1:3" x14ac:dyDescent="0.35">
      <c r="A23" s="38" t="s">
        <v>189</v>
      </c>
      <c r="B23" s="331">
        <f>B17</f>
        <v>6478.8711588082442</v>
      </c>
      <c r="C23" s="332">
        <f>C17</f>
        <v>3911.5579209951247</v>
      </c>
    </row>
    <row r="24" spans="1:3" x14ac:dyDescent="0.35">
      <c r="A24" s="38" t="s">
        <v>300</v>
      </c>
      <c r="B24" s="39">
        <f>B19</f>
        <v>0.26818958552667005</v>
      </c>
      <c r="C24" s="42">
        <f>C19</f>
        <v>0.10732032095544874</v>
      </c>
    </row>
    <row r="25" spans="1:3" x14ac:dyDescent="0.35">
      <c r="A25" s="333" t="s">
        <v>301</v>
      </c>
    </row>
    <row r="26" spans="1:3" x14ac:dyDescent="0.35">
      <c r="A26" t="s">
        <v>302</v>
      </c>
      <c r="B26" s="375">
        <f ca="1">'Investment results'!E$15</f>
        <v>6596.3698460934193</v>
      </c>
      <c r="C26" s="375"/>
    </row>
    <row r="27" spans="1:3" x14ac:dyDescent="0.35">
      <c r="A27" t="s">
        <v>303</v>
      </c>
      <c r="B27" s="376">
        <f ca="1">'Investment results'!F$15</f>
        <v>9596.3698460934265</v>
      </c>
      <c r="C27" s="376"/>
    </row>
    <row r="28" spans="1:3" x14ac:dyDescent="0.35">
      <c r="A28" s="38" t="s">
        <v>304</v>
      </c>
      <c r="B28" s="370">
        <f ca="1">'Investment results'!G$15</f>
        <v>16346.36984609343</v>
      </c>
      <c r="C28" s="370"/>
    </row>
    <row r="29" spans="1:3" x14ac:dyDescent="0.35">
      <c r="A29" s="333" t="s">
        <v>305</v>
      </c>
    </row>
    <row r="30" spans="1:3" x14ac:dyDescent="0.35">
      <c r="A30" s="38" t="s">
        <v>306</v>
      </c>
      <c r="B30" s="370">
        <f ca="1">'Investment results'!C$15</f>
        <v>2418.6573680170172</v>
      </c>
      <c r="C30" s="370"/>
    </row>
    <row r="31" spans="1:3" x14ac:dyDescent="0.35">
      <c r="A31" t="s">
        <v>307</v>
      </c>
      <c r="B31" s="379">
        <f ca="1">'Investment results'!D$15</f>
        <v>2704.2381195505081</v>
      </c>
      <c r="C31" s="379"/>
    </row>
    <row r="32" spans="1:3" x14ac:dyDescent="0.35">
      <c r="A32" s="333" t="s">
        <v>308</v>
      </c>
    </row>
    <row r="33" spans="1:26" x14ac:dyDescent="0.35">
      <c r="A33" t="s">
        <v>302</v>
      </c>
      <c r="B33" s="42">
        <f ca="1">B$23/$B26</f>
        <v>0.98218737123195698</v>
      </c>
      <c r="C33" s="42">
        <f ca="1">C$23/$B26</f>
        <v>0.59298644743391304</v>
      </c>
      <c r="E33" s="1"/>
      <c r="F33" s="1" t="s">
        <v>309</v>
      </c>
      <c r="G33" s="1" t="s">
        <v>310</v>
      </c>
    </row>
    <row r="34" spans="1:26" x14ac:dyDescent="0.35">
      <c r="A34" t="s">
        <v>303</v>
      </c>
      <c r="B34" s="334">
        <f ca="1">B$23/$B27</f>
        <v>0.67513770964608244</v>
      </c>
      <c r="C34" s="42">
        <f t="shared" ref="C34:C35" ca="1" si="0">C$23/$B27</f>
        <v>0.40760808344495764</v>
      </c>
      <c r="E34" s="1" t="s">
        <v>311</v>
      </c>
      <c r="F34" s="335">
        <v>50000</v>
      </c>
      <c r="G34" s="335">
        <v>0</v>
      </c>
    </row>
    <row r="35" spans="1:26" x14ac:dyDescent="0.35">
      <c r="A35" t="s">
        <v>312</v>
      </c>
      <c r="B35" s="39">
        <f ca="1">B$23/$B28</f>
        <v>0.39634923348786277</v>
      </c>
      <c r="C35" s="42">
        <f t="shared" ca="1" si="0"/>
        <v>0.23929214607425123</v>
      </c>
      <c r="E35" s="1" t="s">
        <v>313</v>
      </c>
      <c r="F35" s="335">
        <v>75000</v>
      </c>
      <c r="G35" s="335">
        <f ca="1">SUM(F35/B37,F34/B35)</f>
        <v>154149.97002188524</v>
      </c>
      <c r="H35" s="54"/>
    </row>
    <row r="36" spans="1:26" x14ac:dyDescent="0.35">
      <c r="A36" t="s">
        <v>314</v>
      </c>
      <c r="E36" s="1" t="s">
        <v>315</v>
      </c>
      <c r="F36" s="335">
        <v>50000</v>
      </c>
      <c r="G36" s="335">
        <v>0</v>
      </c>
    </row>
    <row r="37" spans="1:26" x14ac:dyDescent="0.35">
      <c r="A37" t="s">
        <v>316</v>
      </c>
      <c r="B37" s="39">
        <f ca="1">B$23/$B30</f>
        <v>2.678705650697466</v>
      </c>
      <c r="C37" s="42">
        <f ca="1">C$23/$B30</f>
        <v>1.6172435057232148</v>
      </c>
    </row>
    <row r="38" spans="1:26" x14ac:dyDescent="0.35">
      <c r="A38" t="s">
        <v>315</v>
      </c>
      <c r="B38" s="42">
        <f ca="1">B$23/$B31</f>
        <v>2.3958212525623099</v>
      </c>
      <c r="C38" s="42">
        <f ca="1">C$23/$B31</f>
        <v>1.4464546937328486</v>
      </c>
    </row>
    <row r="39" spans="1:26" x14ac:dyDescent="0.35">
      <c r="B39" s="42"/>
      <c r="C39" s="42"/>
    </row>
    <row r="40" spans="1:26" x14ac:dyDescent="0.35">
      <c r="B40" s="42"/>
      <c r="C40" s="42"/>
    </row>
    <row r="41" spans="1:26" x14ac:dyDescent="0.35">
      <c r="B41" s="42"/>
      <c r="C41" s="42"/>
    </row>
    <row r="42" spans="1:26" x14ac:dyDescent="0.35">
      <c r="B42" s="42"/>
      <c r="C42" s="42"/>
    </row>
    <row r="43" spans="1:26" x14ac:dyDescent="0.35">
      <c r="B43" s="42"/>
      <c r="C43" s="42"/>
    </row>
    <row r="44" spans="1:26" x14ac:dyDescent="0.35">
      <c r="B44" s="42"/>
      <c r="C44" s="42"/>
    </row>
    <row r="46" spans="1:26" x14ac:dyDescent="0.35">
      <c r="A46" s="333" t="s">
        <v>317</v>
      </c>
    </row>
    <row r="47" spans="1:26" x14ac:dyDescent="0.35">
      <c r="B47" s="36" t="s">
        <v>318</v>
      </c>
      <c r="C47" s="336">
        <v>2027</v>
      </c>
      <c r="D47" s="336">
        <f>C47+1</f>
        <v>2028</v>
      </c>
      <c r="E47" s="336">
        <f t="shared" ref="E47:Z47" si="1">D47+1</f>
        <v>2029</v>
      </c>
      <c r="F47" s="336">
        <f t="shared" si="1"/>
        <v>2030</v>
      </c>
      <c r="G47" s="336">
        <f t="shared" si="1"/>
        <v>2031</v>
      </c>
      <c r="H47" s="336">
        <f t="shared" si="1"/>
        <v>2032</v>
      </c>
      <c r="I47" s="336">
        <f t="shared" si="1"/>
        <v>2033</v>
      </c>
      <c r="J47" s="336">
        <f t="shared" si="1"/>
        <v>2034</v>
      </c>
      <c r="K47" s="336">
        <f t="shared" si="1"/>
        <v>2035</v>
      </c>
      <c r="L47" s="336">
        <f t="shared" si="1"/>
        <v>2036</v>
      </c>
      <c r="M47" s="336">
        <f t="shared" si="1"/>
        <v>2037</v>
      </c>
      <c r="N47" s="336">
        <f t="shared" si="1"/>
        <v>2038</v>
      </c>
      <c r="O47" s="336">
        <f t="shared" si="1"/>
        <v>2039</v>
      </c>
      <c r="P47" s="336">
        <f t="shared" si="1"/>
        <v>2040</v>
      </c>
      <c r="Q47" s="336">
        <f t="shared" si="1"/>
        <v>2041</v>
      </c>
      <c r="R47" s="336">
        <f t="shared" si="1"/>
        <v>2042</v>
      </c>
      <c r="S47" s="336">
        <f t="shared" si="1"/>
        <v>2043</v>
      </c>
      <c r="T47" s="336">
        <f t="shared" si="1"/>
        <v>2044</v>
      </c>
      <c r="U47" s="336">
        <f t="shared" si="1"/>
        <v>2045</v>
      </c>
      <c r="V47" s="336">
        <f t="shared" si="1"/>
        <v>2046</v>
      </c>
      <c r="W47" s="336">
        <f t="shared" si="1"/>
        <v>2047</v>
      </c>
      <c r="X47" s="336">
        <f t="shared" si="1"/>
        <v>2048</v>
      </c>
      <c r="Y47" s="336">
        <f t="shared" si="1"/>
        <v>2049</v>
      </c>
      <c r="Z47" s="337">
        <f t="shared" si="1"/>
        <v>2050</v>
      </c>
    </row>
    <row r="48" spans="1:26" x14ac:dyDescent="0.35">
      <c r="A48" s="380" t="s">
        <v>319</v>
      </c>
      <c r="B48" s="143" t="s">
        <v>316</v>
      </c>
      <c r="C48" s="126"/>
      <c r="D48" s="338"/>
      <c r="E48" s="338"/>
      <c r="F48" s="338">
        <v>5000</v>
      </c>
      <c r="G48" s="338">
        <v>5000</v>
      </c>
      <c r="H48" s="338">
        <v>5000</v>
      </c>
      <c r="I48" s="338">
        <v>5000</v>
      </c>
      <c r="J48" s="338">
        <v>5000</v>
      </c>
      <c r="K48" s="338">
        <v>5000</v>
      </c>
      <c r="L48" s="338">
        <v>5000</v>
      </c>
      <c r="M48" s="338">
        <v>5000</v>
      </c>
      <c r="N48" s="338">
        <v>5000</v>
      </c>
      <c r="O48" s="338">
        <v>5000</v>
      </c>
      <c r="P48" s="338">
        <v>5000</v>
      </c>
      <c r="Q48" s="338">
        <v>5000</v>
      </c>
      <c r="R48" s="338">
        <v>5000</v>
      </c>
      <c r="S48" s="338">
        <v>5000</v>
      </c>
      <c r="T48" s="338">
        <v>5000</v>
      </c>
      <c r="U48" s="338"/>
      <c r="V48" s="338"/>
      <c r="W48" s="338"/>
      <c r="X48" s="338"/>
      <c r="Y48" s="338"/>
      <c r="Z48" s="239"/>
    </row>
    <row r="49" spans="1:26" x14ac:dyDescent="0.35">
      <c r="A49" s="377"/>
      <c r="B49" s="144" t="s">
        <v>311</v>
      </c>
      <c r="C49" s="127"/>
      <c r="F49">
        <v>2500</v>
      </c>
      <c r="G49">
        <v>2500</v>
      </c>
      <c r="H49">
        <v>2500</v>
      </c>
      <c r="I49">
        <v>2500</v>
      </c>
      <c r="J49">
        <v>2500</v>
      </c>
      <c r="K49">
        <v>2500</v>
      </c>
      <c r="L49">
        <v>2500</v>
      </c>
      <c r="M49">
        <v>2500</v>
      </c>
      <c r="N49">
        <v>2500</v>
      </c>
      <c r="O49">
        <v>2500</v>
      </c>
      <c r="P49">
        <v>2500</v>
      </c>
      <c r="Q49">
        <v>2500</v>
      </c>
      <c r="R49">
        <v>2500</v>
      </c>
      <c r="S49">
        <v>2500</v>
      </c>
      <c r="T49">
        <v>2500</v>
      </c>
      <c r="U49">
        <v>2500</v>
      </c>
      <c r="V49">
        <v>2500</v>
      </c>
      <c r="W49">
        <v>2500</v>
      </c>
      <c r="X49">
        <v>2500</v>
      </c>
      <c r="Y49">
        <v>2500</v>
      </c>
      <c r="Z49" s="339"/>
    </row>
    <row r="50" spans="1:26" x14ac:dyDescent="0.35">
      <c r="A50" s="378"/>
      <c r="B50" s="101" t="s">
        <v>315</v>
      </c>
      <c r="C50" s="128">
        <v>5000</v>
      </c>
      <c r="D50" s="52">
        <v>5000</v>
      </c>
      <c r="E50" s="52">
        <v>5000</v>
      </c>
      <c r="F50" s="52">
        <v>5000</v>
      </c>
      <c r="G50" s="52">
        <v>5000</v>
      </c>
      <c r="H50" s="52">
        <v>5000</v>
      </c>
      <c r="I50" s="52">
        <v>5000</v>
      </c>
      <c r="J50" s="52">
        <v>5000</v>
      </c>
      <c r="K50" s="52">
        <v>5000</v>
      </c>
      <c r="L50" s="52">
        <v>5000</v>
      </c>
      <c r="Z50" s="339"/>
    </row>
    <row r="51" spans="1:26" x14ac:dyDescent="0.35">
      <c r="A51" s="377" t="s">
        <v>320</v>
      </c>
      <c r="B51" s="145" t="s">
        <v>316</v>
      </c>
      <c r="C51" s="127">
        <v>10000</v>
      </c>
      <c r="D51">
        <v>10000</v>
      </c>
      <c r="E51">
        <v>10000</v>
      </c>
      <c r="F51">
        <v>10000</v>
      </c>
      <c r="G51">
        <v>10000</v>
      </c>
      <c r="H51">
        <v>10000</v>
      </c>
      <c r="I51">
        <v>10000</v>
      </c>
      <c r="J51">
        <v>10000</v>
      </c>
      <c r="K51">
        <v>10000</v>
      </c>
      <c r="L51">
        <v>10000</v>
      </c>
      <c r="M51" s="338">
        <v>10000</v>
      </c>
      <c r="N51" s="338">
        <v>10000</v>
      </c>
      <c r="O51" s="338">
        <v>10000</v>
      </c>
      <c r="P51" s="338">
        <v>10000</v>
      </c>
      <c r="Q51" s="338">
        <v>10000</v>
      </c>
      <c r="R51" s="338">
        <v>5000</v>
      </c>
      <c r="S51" s="338"/>
      <c r="T51" s="338"/>
      <c r="U51" s="338"/>
      <c r="V51" s="338"/>
      <c r="W51" s="338"/>
      <c r="X51" s="338"/>
      <c r="Y51" s="338"/>
      <c r="Z51" s="239"/>
    </row>
    <row r="52" spans="1:26" x14ac:dyDescent="0.35">
      <c r="A52" s="377"/>
      <c r="B52" s="145" t="s">
        <v>311</v>
      </c>
      <c r="C52" s="127"/>
      <c r="Z52" s="339"/>
    </row>
    <row r="53" spans="1:26" x14ac:dyDescent="0.35">
      <c r="A53" s="378"/>
      <c r="B53" s="101" t="s">
        <v>315</v>
      </c>
      <c r="C53" s="128"/>
      <c r="D53" s="52"/>
      <c r="E53" s="52"/>
      <c r="F53" s="52"/>
      <c r="G53" s="52"/>
      <c r="H53" s="52"/>
      <c r="I53" s="52"/>
      <c r="J53" s="52"/>
      <c r="K53" s="52"/>
      <c r="L53" s="52"/>
      <c r="M53" s="52"/>
      <c r="N53" s="52"/>
      <c r="O53" s="52"/>
      <c r="P53" s="52"/>
      <c r="Q53" s="52"/>
      <c r="R53" s="52"/>
      <c r="S53" s="52"/>
      <c r="T53" s="52"/>
      <c r="U53" s="52"/>
      <c r="V53" s="52"/>
      <c r="W53" s="52"/>
      <c r="X53" s="52"/>
      <c r="Y53" s="52"/>
      <c r="Z53" s="142"/>
    </row>
    <row r="54" spans="1:26" x14ac:dyDescent="0.35">
      <c r="A54" s="340" t="s">
        <v>321</v>
      </c>
      <c r="B54" s="337" t="s">
        <v>322</v>
      </c>
      <c r="C54" s="128">
        <f>SUM(C48:C53)</f>
        <v>15000</v>
      </c>
      <c r="D54" s="52">
        <f t="shared" ref="D54:Z54" si="2">SUM(D48:D53)</f>
        <v>15000</v>
      </c>
      <c r="E54" s="52">
        <f t="shared" si="2"/>
        <v>15000</v>
      </c>
      <c r="F54" s="52">
        <f t="shared" si="2"/>
        <v>22500</v>
      </c>
      <c r="G54" s="52">
        <f t="shared" si="2"/>
        <v>22500</v>
      </c>
      <c r="H54" s="52">
        <f t="shared" si="2"/>
        <v>22500</v>
      </c>
      <c r="I54" s="52">
        <f t="shared" si="2"/>
        <v>22500</v>
      </c>
      <c r="J54" s="52">
        <f t="shared" si="2"/>
        <v>22500</v>
      </c>
      <c r="K54" s="52">
        <f t="shared" si="2"/>
        <v>22500</v>
      </c>
      <c r="L54" s="52">
        <f t="shared" si="2"/>
        <v>22500</v>
      </c>
      <c r="M54" s="52">
        <f t="shared" si="2"/>
        <v>17500</v>
      </c>
      <c r="N54" s="52">
        <f t="shared" si="2"/>
        <v>17500</v>
      </c>
      <c r="O54" s="52">
        <f t="shared" si="2"/>
        <v>17500</v>
      </c>
      <c r="P54" s="52">
        <f t="shared" si="2"/>
        <v>17500</v>
      </c>
      <c r="Q54" s="52">
        <f t="shared" si="2"/>
        <v>17500</v>
      </c>
      <c r="R54" s="52">
        <f t="shared" si="2"/>
        <v>12500</v>
      </c>
      <c r="S54" s="52">
        <f t="shared" si="2"/>
        <v>7500</v>
      </c>
      <c r="T54" s="52">
        <f t="shared" si="2"/>
        <v>7500</v>
      </c>
      <c r="U54" s="52">
        <f t="shared" si="2"/>
        <v>2500</v>
      </c>
      <c r="V54" s="52">
        <f t="shared" si="2"/>
        <v>2500</v>
      </c>
      <c r="W54" s="52">
        <f t="shared" si="2"/>
        <v>2500</v>
      </c>
      <c r="X54" s="52">
        <f t="shared" si="2"/>
        <v>2500</v>
      </c>
      <c r="Y54" s="52">
        <f t="shared" si="2"/>
        <v>2500</v>
      </c>
      <c r="Z54" s="142">
        <f t="shared" si="2"/>
        <v>0</v>
      </c>
    </row>
    <row r="55" spans="1:26" x14ac:dyDescent="0.35">
      <c r="A55" s="341" t="s">
        <v>321</v>
      </c>
      <c r="B55" s="342"/>
      <c r="C55" s="343"/>
    </row>
    <row r="56" spans="1:26" x14ac:dyDescent="0.35">
      <c r="A56" s="380" t="s">
        <v>319</v>
      </c>
      <c r="B56" s="143" t="s">
        <v>316</v>
      </c>
      <c r="C56" s="56">
        <f t="shared" ref="C56:C62" si="3">SUM(C48:Z48)</f>
        <v>75000</v>
      </c>
    </row>
    <row r="57" spans="1:26" x14ac:dyDescent="0.35">
      <c r="A57" s="377"/>
      <c r="B57" s="145" t="s">
        <v>311</v>
      </c>
      <c r="C57" s="58">
        <f t="shared" si="3"/>
        <v>50000</v>
      </c>
    </row>
    <row r="58" spans="1:26" x14ac:dyDescent="0.35">
      <c r="A58" s="378"/>
      <c r="B58" s="101" t="s">
        <v>315</v>
      </c>
      <c r="C58" s="57">
        <f t="shared" si="3"/>
        <v>50000</v>
      </c>
    </row>
    <row r="59" spans="1:26" x14ac:dyDescent="0.35">
      <c r="A59" s="377" t="s">
        <v>320</v>
      </c>
      <c r="B59" s="145" t="s">
        <v>316</v>
      </c>
      <c r="C59" s="56">
        <f>SUM(C51:Z51)</f>
        <v>155000</v>
      </c>
    </row>
    <row r="60" spans="1:26" x14ac:dyDescent="0.35">
      <c r="A60" s="377"/>
      <c r="B60" s="145" t="s">
        <v>311</v>
      </c>
      <c r="C60" s="58">
        <f t="shared" si="3"/>
        <v>0</v>
      </c>
    </row>
    <row r="61" spans="1:26" x14ac:dyDescent="0.35">
      <c r="A61" s="378"/>
      <c r="B61" s="101" t="s">
        <v>315</v>
      </c>
      <c r="C61" s="57">
        <f t="shared" si="3"/>
        <v>0</v>
      </c>
    </row>
    <row r="62" spans="1:26" x14ac:dyDescent="0.35">
      <c r="A62" s="340" t="s">
        <v>321</v>
      </c>
      <c r="B62" s="337" t="s">
        <v>322</v>
      </c>
      <c r="C62" s="37">
        <f t="shared" si="3"/>
        <v>330000</v>
      </c>
    </row>
  </sheetData>
  <mergeCells count="13">
    <mergeCell ref="A59:A61"/>
    <mergeCell ref="B30:C30"/>
    <mergeCell ref="B31:C31"/>
    <mergeCell ref="A48:A50"/>
    <mergeCell ref="A51:A53"/>
    <mergeCell ref="A55:C55"/>
    <mergeCell ref="A56:A58"/>
    <mergeCell ref="B28:C28"/>
    <mergeCell ref="E2:F2"/>
    <mergeCell ref="E3:F3"/>
    <mergeCell ref="E10:F10"/>
    <mergeCell ref="B26:C26"/>
    <mergeCell ref="B27:C27"/>
  </mergeCells>
  <conditionalFormatting sqref="B18:C18">
    <cfRule type="cellIs" dxfId="1" priority="1" operator="lessThan">
      <formula>1</formula>
    </cfRule>
  </conditionalFormatting>
  <conditionalFormatting sqref="B19:C19">
    <cfRule type="cellIs" dxfId="0" priority="2" operator="lessThan">
      <formula>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495A7-F7AD-49B1-A6D0-845195F66C37}">
  <sheetPr>
    <tabColor theme="2" tint="-0.249977111117893"/>
  </sheetPr>
  <dimension ref="A1:D18"/>
  <sheetViews>
    <sheetView workbookViewId="0">
      <selection activeCell="H27" sqref="H27"/>
    </sheetView>
  </sheetViews>
  <sheetFormatPr defaultRowHeight="14.5" x14ac:dyDescent="0.35"/>
  <cols>
    <col min="2" max="4" width="10.1796875" bestFit="1" customWidth="1"/>
  </cols>
  <sheetData>
    <row r="1" spans="1:4" x14ac:dyDescent="0.35">
      <c r="A1" s="216" t="s">
        <v>323</v>
      </c>
      <c r="B1" s="303">
        <v>45566</v>
      </c>
    </row>
    <row r="2" spans="1:4" x14ac:dyDescent="0.35">
      <c r="B2" s="125"/>
    </row>
    <row r="3" spans="1:4" x14ac:dyDescent="0.35">
      <c r="A3" s="216" t="s">
        <v>156</v>
      </c>
      <c r="B3" s="216" t="s">
        <v>324</v>
      </c>
      <c r="C3" s="216" t="s">
        <v>178</v>
      </c>
      <c r="D3" s="216" t="s">
        <v>325</v>
      </c>
    </row>
    <row r="4" spans="1:4" x14ac:dyDescent="0.35">
      <c r="A4" s="217" t="s">
        <v>326</v>
      </c>
      <c r="B4" s="304">
        <v>824.67399999999998</v>
      </c>
      <c r="C4" s="304">
        <v>834.15</v>
      </c>
      <c r="D4" s="305">
        <v>937.7120000000001</v>
      </c>
    </row>
    <row r="5" spans="1:4" x14ac:dyDescent="0.35">
      <c r="A5" s="219" t="s">
        <v>327</v>
      </c>
      <c r="B5" s="306">
        <v>554.87199999999996</v>
      </c>
      <c r="C5" s="306">
        <v>652.78600000000006</v>
      </c>
      <c r="D5" s="307">
        <v>699.50200000000007</v>
      </c>
    </row>
    <row r="7" spans="1:4" x14ac:dyDescent="0.35">
      <c r="A7" s="216" t="s">
        <v>174</v>
      </c>
      <c r="B7" s="216" t="s">
        <v>324</v>
      </c>
      <c r="C7" s="216" t="s">
        <v>178</v>
      </c>
      <c r="D7" s="216" t="s">
        <v>325</v>
      </c>
    </row>
    <row r="8" spans="1:4" x14ac:dyDescent="0.35">
      <c r="A8" s="217" t="s">
        <v>326</v>
      </c>
      <c r="B8" s="304">
        <v>1188.0719999999999</v>
      </c>
      <c r="C8" s="304">
        <v>1023.49</v>
      </c>
      <c r="D8" s="305">
        <v>1240.182</v>
      </c>
    </row>
    <row r="9" spans="1:4" x14ac:dyDescent="0.35">
      <c r="A9" s="219" t="s">
        <v>327</v>
      </c>
      <c r="B9" s="306">
        <v>814.20600000000002</v>
      </c>
      <c r="C9" s="306">
        <v>702.16600000000005</v>
      </c>
      <c r="D9" s="307">
        <v>823.57799999999997</v>
      </c>
    </row>
    <row r="11" spans="1:4" x14ac:dyDescent="0.35">
      <c r="A11" s="216" t="s">
        <v>175</v>
      </c>
      <c r="B11" s="216" t="s">
        <v>324</v>
      </c>
      <c r="C11" s="216" t="s">
        <v>328</v>
      </c>
      <c r="D11" s="216" t="s">
        <v>325</v>
      </c>
    </row>
    <row r="12" spans="1:4" x14ac:dyDescent="0.35">
      <c r="A12" s="217" t="s">
        <v>326</v>
      </c>
      <c r="B12" s="304">
        <v>2076.7599999999998</v>
      </c>
      <c r="C12" s="304">
        <v>1323.704</v>
      </c>
      <c r="D12" s="305">
        <v>2081.4120000000003</v>
      </c>
    </row>
    <row r="13" spans="1:4" x14ac:dyDescent="0.35">
      <c r="A13" s="219" t="s">
        <v>327</v>
      </c>
      <c r="B13" s="306">
        <v>1492.6180000000002</v>
      </c>
      <c r="C13" s="306">
        <v>869.36200000000008</v>
      </c>
      <c r="D13" s="307">
        <v>1283.9880000000001</v>
      </c>
    </row>
    <row r="15" spans="1:4" x14ac:dyDescent="0.35">
      <c r="A15" s="216" t="s">
        <v>329</v>
      </c>
    </row>
    <row r="16" spans="1:4" x14ac:dyDescent="0.35">
      <c r="A16" s="56" t="s">
        <v>324</v>
      </c>
    </row>
    <row r="17" spans="1:1" x14ac:dyDescent="0.35">
      <c r="A17" s="58" t="s">
        <v>178</v>
      </c>
    </row>
    <row r="18" spans="1:1" x14ac:dyDescent="0.35">
      <c r="A18" s="57" t="s">
        <v>325</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Tree Document" ma:contentTypeID="0x01010017373BD072151744BF62D2EC2F5E4683007AA43A2A80FCE5469E535CECA04EF9F2" ma:contentTypeVersion="42" ma:contentTypeDescription="Create a new document." ma:contentTypeScope="" ma:versionID="e492925a79f4755dcd59539e3d2c7034">
  <xsd:schema xmlns:xsd="http://www.w3.org/2001/XMLSchema" xmlns:xs="http://www.w3.org/2001/XMLSchema" xmlns:p="http://schemas.microsoft.com/office/2006/metadata/properties" xmlns:ns1="http://schemas.microsoft.com/sharepoint/v3" xmlns:ns2="f3702602-1923-414e-b8fa-1cf1166a04f9" xmlns:ns3="62f1fba9-5276-4610-b149-ea9653848854" xmlns:ns4="58a6f171-52cb-4404-b47d-af1c8daf8fd1" xmlns:ns5="8670e516-b8ce-4d0b-944a-cee4985e1002" targetNamespace="http://schemas.microsoft.com/office/2006/metadata/properties" ma:root="true" ma:fieldsID="ea22b7d818d8ea7371dda259ca573df6" ns1:_="" ns2:_="" ns3:_="" ns4:_="" ns5:_="">
    <xsd:import namespace="http://schemas.microsoft.com/sharepoint/v3"/>
    <xsd:import namespace="f3702602-1923-414e-b8fa-1cf1166a04f9"/>
    <xsd:import namespace="62f1fba9-5276-4610-b149-ea9653848854"/>
    <xsd:import namespace="58a6f171-52cb-4404-b47d-af1c8daf8fd1"/>
    <xsd:import namespace="8670e516-b8ce-4d0b-944a-cee4985e1002"/>
    <xsd:element name="properties">
      <xsd:complexType>
        <xsd:sequence>
          <xsd:element name="documentManagement">
            <xsd:complexType>
              <xsd:all>
                <xsd:element ref="ns2:MfE_ECM_TMID" minOccurs="0"/>
                <xsd:element ref="ns2:MfE_ECM_Purpose" minOccurs="0"/>
                <xsd:element ref="ns2:MfE_ECM_RequestSummary" minOccurs="0"/>
                <xsd:element ref="ns3:Minister" minOccurs="0"/>
                <xsd:element ref="ns3:Agency" minOccurs="0"/>
                <xsd:element ref="ns2:MfE_ECM_MTSType" minOccurs="0"/>
                <xsd:element ref="ns2:MfE_ECM_PageCount" minOccurs="0"/>
                <xsd:element ref="ns2:MfE_ECM_Author" minOccurs="0"/>
                <xsd:element ref="ns2:MfE_ECM_Directorate" minOccurs="0"/>
                <xsd:element ref="ns2:MfE_ECM_Manager" minOccurs="0"/>
                <xsd:element ref="ns2:MfE_ECM_Director" minOccurs="0"/>
                <xsd:element ref="ns2:MfE_ECM_SecurityLevel" minOccurs="0"/>
                <xsd:element ref="ns2:MfE_ECM_SubSecurityLevel" minOccurs="0"/>
                <xsd:element ref="ns1:_ip_UnifiedCompliancePolicyProperties" minOccurs="0"/>
                <xsd:element ref="ns4:_dlc_DocIdUrl" minOccurs="0"/>
                <xsd:element ref="ns4:_dlc_DocIdPersistId" minOccurs="0"/>
                <xsd:element ref="ns5:MediaServiceFastMetadata" minOccurs="0"/>
                <xsd:element ref="ns5:MediaServiceAutoKeyPoints" minOccurs="0"/>
                <xsd:element ref="ns5:MediaServiceKeyPoints" minOccurs="0"/>
                <xsd:element ref="ns5:MediaServiceMetadata" minOccurs="0"/>
                <xsd:element ref="ns4:_dlc_DocId" minOccurs="0"/>
                <xsd:element ref="ns1:_ip_UnifiedCompliancePolicyUIAction" minOccurs="0"/>
                <xsd:element ref="ns3:SharedWithUsers" minOccurs="0"/>
                <xsd:element ref="ns3: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lcf76f155ced4ddcb4097134ff3c332f" minOccurs="0"/>
                <xsd:element ref="ns4:TaxCatchAll" minOccurs="0"/>
                <xsd:element ref="ns5:MediaServiceLocation" minOccurs="0"/>
                <xsd:element ref="ns5:InScope_x003f_" minOccurs="0"/>
                <xsd:element ref="ns5:Releaseinfull_x003f_" minOccurs="0"/>
                <xsd:element ref="ns5:Withholdgrounds" minOccurs="0"/>
                <xsd:element ref="ns5:MediaLengthInSeconds" minOccurs="0"/>
                <xsd:element ref="ns5:MediaServiceObjectDetectorVersions" minOccurs="0"/>
                <xsd:element ref="ns5:Inscope" minOccurs="0"/>
                <xsd:element ref="ns5:_Flow_SignoffStatu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702602-1923-414e-b8fa-1cf1166a04f9" elementFormDefault="qualified">
    <xsd:import namespace="http://schemas.microsoft.com/office/2006/documentManagement/types"/>
    <xsd:import namespace="http://schemas.microsoft.com/office/infopath/2007/PartnerControls"/>
    <xsd:element name="MfE_ECM_TMID" ma:index="2" nillable="true" ma:displayName="Identifier" ma:internalName="MfE_ECM_TMID">
      <xsd:simpleType>
        <xsd:restriction base="dms:Text">
          <xsd:maxLength value="20"/>
        </xsd:restriction>
      </xsd:simpleType>
    </xsd:element>
    <xsd:element name="MfE_ECM_Purpose" ma:index="3" nillable="true" ma:displayName="Purpose" ma:description="Seeks decision to delay VCM report back from Nov 22 to Dec 22" ma:format="Dropdown" ma:internalName="MfE_ECM_Purpose">
      <xsd:simpleType>
        <xsd:restriction base="dms:Note">
          <xsd:maxLength value="255"/>
        </xsd:restriction>
      </xsd:simpleType>
    </xsd:element>
    <xsd:element name="MfE_ECM_RequestSummary" ma:index="4" nillable="true" ma:displayName="Request Summary" ma:internalName="MfE_ECM_RequestSummary">
      <xsd:simpleType>
        <xsd:restriction base="dms:Text">
          <xsd:maxLength value="150"/>
        </xsd:restriction>
      </xsd:simpleType>
    </xsd:element>
    <xsd:element name="MfE_ECM_MTSType" ma:index="7" nillable="true" ma:displayName="MTS Type" ma:internalName="MfE_ECM_MTSType">
      <xsd:simpleType>
        <xsd:restriction base="dms:Text">
          <xsd:maxLength value="20"/>
        </xsd:restriction>
      </xsd:simpleType>
    </xsd:element>
    <xsd:element name="MfE_ECM_PageCount" ma:index="8" nillable="true" ma:displayName="Page Count" ma:internalName="MfE_ECM_PageCount">
      <xsd:simpleType>
        <xsd:restriction base="dms:Text">
          <xsd:maxLength value="10"/>
        </xsd:restriction>
      </xsd:simpleType>
    </xsd:element>
    <xsd:element name="MfE_ECM_Author" ma:index="9" nillable="true" ma:displayName="Document Author" ma:internalName="MfE_ECM_Author">
      <xsd:simpleType>
        <xsd:restriction base="dms:Text">
          <xsd:maxLength value="50"/>
        </xsd:restriction>
      </xsd:simpleType>
    </xsd:element>
    <xsd:element name="MfE_ECM_Directorate" ma:index="10" nillable="true" ma:displayName="Directorate" ma:internalName="MfE_ECM_Directorate">
      <xsd:simpleType>
        <xsd:restriction base="dms:Text">
          <xsd:maxLength value="50"/>
        </xsd:restriction>
      </xsd:simpleType>
    </xsd:element>
    <xsd:element name="MfE_ECM_Manager" ma:index="11" nillable="true" ma:displayName="Manager" ma:internalName="MfE_ECM_Manager">
      <xsd:simpleType>
        <xsd:restriction base="dms:Text">
          <xsd:maxLength value="50"/>
        </xsd:restriction>
      </xsd:simpleType>
    </xsd:element>
    <xsd:element name="MfE_ECM_Director" ma:index="12" nillable="true" ma:displayName="Director" ma:internalName="MfE_ECM_Director">
      <xsd:simpleType>
        <xsd:restriction base="dms:Text">
          <xsd:maxLength value="50"/>
        </xsd:restriction>
      </xsd:simpleType>
    </xsd:element>
    <xsd:element name="MfE_ECM_SecurityLevel" ma:index="13" nillable="true" ma:displayName="Security Level" ma:internalName="MfE_ECM_SecurityLevel">
      <xsd:simpleType>
        <xsd:restriction base="dms:Text">
          <xsd:maxLength value="30"/>
        </xsd:restriction>
      </xsd:simpleType>
    </xsd:element>
    <xsd:element name="MfE_ECM_SubSecurityLevel" ma:index="14" nillable="true" ma:displayName="Sub Security Level" ma:internalName="MfE_ECM_SubSecurityLevel">
      <xsd:simpleType>
        <xsd:restriction base="dms:Text">
          <xsd:maxLength value="30"/>
        </xsd:restriction>
      </xsd:simpleType>
    </xsd:element>
  </xsd:schema>
  <xsd:schema xmlns:xsd="http://www.w3.org/2001/XMLSchema" xmlns:xs="http://www.w3.org/2001/XMLSchema" xmlns:dms="http://schemas.microsoft.com/office/2006/documentManagement/types" xmlns:pc="http://schemas.microsoft.com/office/infopath/2007/PartnerControls" targetNamespace="62f1fba9-5276-4610-b149-ea9653848854" elementFormDefault="qualified">
    <xsd:import namespace="http://schemas.microsoft.com/office/2006/documentManagement/types"/>
    <xsd:import namespace="http://schemas.microsoft.com/office/infopath/2007/PartnerControls"/>
    <xsd:element name="Minister" ma:index="5" nillable="true" ma:displayName="Minister" ma:internalName="Minister">
      <xsd:simpleType>
        <xsd:restriction base="dms:Text">
          <xsd:maxLength value="255"/>
        </xsd:restriction>
      </xsd:simpleType>
    </xsd:element>
    <xsd:element name="Agency" ma:index="6" nillable="true" ma:displayName="Agency" ma:internalName="Agency">
      <xsd:simpleType>
        <xsd:restriction base="dms:Text">
          <xsd:maxLength value="255"/>
        </xsd:restriction>
      </xsd:simple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_dlc_DocId" ma:index="26" nillable="true" ma:displayName="Document ID Value" ma:description="The value of the document ID assigned to this item." ma:internalName="_dlc_DocId" ma:readOnly="true">
      <xsd:simpleType>
        <xsd:restriction base="dms:Text"/>
      </xsd:simpleType>
    </xsd:element>
    <xsd:element name="TaxCatchAll" ma:index="39" nillable="true" ma:displayName="Taxonomy Catch All Column" ma:hidden="true" ma:list="{4ccefaf0-83de-4a62-8cc9-ce0546752b78}" ma:internalName="TaxCatchAll" ma:showField="CatchAllData" ma:web="62f1fba9-5276-4610-b149-ea965384885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670e516-b8ce-4d0b-944a-cee4985e1002" elementFormDefault="qualified">
    <xsd:import namespace="http://schemas.microsoft.com/office/2006/documentManagement/types"/>
    <xsd:import namespace="http://schemas.microsoft.com/office/infopath/2007/PartnerControls"/>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Metadata" ma:index="25" nillable="true" ma:displayName="MediaServiceMetadata" ma:hidden="true" ma:internalName="MediaService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4" nillable="true" ma:displayName="MediaServiceDateTaken" ma:hidden="true" ma:internalName="MediaServiceDateTaken" ma:readOnly="true">
      <xsd:simpleType>
        <xsd:restriction base="dms:Text"/>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Location" ma:index="40" nillable="true" ma:displayName="Location" ma:internalName="MediaServiceLocation" ma:readOnly="true">
      <xsd:simpleType>
        <xsd:restriction base="dms:Text"/>
      </xsd:simpleType>
    </xsd:element>
    <xsd:element name="InScope_x003f_" ma:index="41" nillable="true" ma:displayName="In Scope?" ma:format="Dropdown" ma:internalName="InScope_x003f_">
      <xsd:simpleType>
        <xsd:restriction base="dms:Text">
          <xsd:maxLength value="255"/>
        </xsd:restriction>
      </xsd:simpleType>
    </xsd:element>
    <xsd:element name="Releaseinfull_x003f_" ma:index="42" nillable="true" ma:displayName="Release in full?" ma:format="Dropdown" ma:internalName="Releaseinfull_x003f_">
      <xsd:simpleType>
        <xsd:restriction base="dms:Text">
          <xsd:maxLength value="255"/>
        </xsd:restriction>
      </xsd:simpleType>
    </xsd:element>
    <xsd:element name="Withholdgrounds" ma:index="43" nillable="true" ma:displayName="Withhold grounds" ma:format="Dropdown" ma:internalName="Withholdgrounds">
      <xsd:simpleType>
        <xsd:restriction base="dms:Text">
          <xsd:maxLength value="255"/>
        </xsd:restriction>
      </xsd:simpleType>
    </xsd:element>
    <xsd:element name="MediaLengthInSeconds" ma:index="44" nillable="true" ma:displayName="MediaLengthInSeconds" ma:hidden="true" ma:internalName="MediaLengthInSeconds" ma:readOnly="true">
      <xsd:simpleType>
        <xsd:restriction base="dms:Unknow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Inscope" ma:index="46" nillable="true" ma:displayName="In scope" ma:format="Dropdown" ma:internalName="Inscope">
      <xsd:simpleType>
        <xsd:restriction base="dms:Text">
          <xsd:maxLength value="255"/>
        </xsd:restriction>
      </xsd:simpleType>
    </xsd:element>
    <xsd:element name="_Flow_SignoffStatus" ma:index="47" nillable="true" ma:displayName="Sign-off status" ma:internalName="Sign_x002d_off_x0020_status">
      <xsd:simpleType>
        <xsd:restriction base="dms:Text"/>
      </xsd:simpleType>
    </xsd:element>
    <xsd:element name="MediaServiceSearchProperties" ma:index="48" nillable="true" ma:displayName="MediaServiceSearchProperties" ma:hidden="true" ma:internalName="MediaServiceSearchProperties" ma:readOnly="true">
      <xsd:simpleType>
        <xsd:restriction base="dms:Note"/>
      </xsd:simpleType>
    </xsd:element>
    <xsd:element name="MediaServiceBillingMetadata" ma:index="4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fE_ECM_TMID xmlns="f3702602-1923-414e-b8fa-1cf1166a04f9" xsi:nil="true"/>
    <Minister xmlns="62f1fba9-5276-4610-b149-ea9653848854" xsi:nil="true"/>
    <Withholdgrounds xmlns="8670e516-b8ce-4d0b-944a-cee4985e1002" xsi:nil="true"/>
    <Agency xmlns="62f1fba9-5276-4610-b149-ea9653848854" xsi:nil="true"/>
    <Releaseinfull_x003f_ xmlns="8670e516-b8ce-4d0b-944a-cee4985e1002" xsi:nil="true"/>
    <MfE_ECM_MTSType xmlns="f3702602-1923-414e-b8fa-1cf1166a04f9" xsi:nil="true"/>
    <_dlc_DocId xmlns="58a6f171-52cb-4404-b47d-af1c8daf8fd1">ECM-1957364731-235787</_dlc_DocId>
    <MfE_ECM_Purpose xmlns="f3702602-1923-414e-b8fa-1cf1166a04f9" xsi:nil="true"/>
    <MfE_ECM_Directorate xmlns="f3702602-1923-414e-b8fa-1cf1166a04f9" xsi:nil="true"/>
    <_Flow_SignoffStatus xmlns="8670e516-b8ce-4d0b-944a-cee4985e1002" xsi:nil="true"/>
    <InScope_x003f_ xmlns="8670e516-b8ce-4d0b-944a-cee4985e1002" xsi:nil="true"/>
    <MfE_ECM_Manager xmlns="f3702602-1923-414e-b8fa-1cf1166a04f9" xsi:nil="true"/>
    <Inscope xmlns="8670e516-b8ce-4d0b-944a-cee4985e1002" xsi:nil="true"/>
    <_ip_UnifiedCompliancePolicyUIAction xmlns="http://schemas.microsoft.com/sharepoint/v3" xsi:nil="true"/>
    <MfE_ECM_RequestSummary xmlns="f3702602-1923-414e-b8fa-1cf1166a04f9" xsi:nil="true"/>
    <_ip_UnifiedCompliancePolicyProperties xmlns="http://schemas.microsoft.com/sharepoint/v3" xsi:nil="true"/>
    <lcf76f155ced4ddcb4097134ff3c332f xmlns="8670e516-b8ce-4d0b-944a-cee4985e1002">
      <Terms xmlns="http://schemas.microsoft.com/office/infopath/2007/PartnerControls"/>
    </lcf76f155ced4ddcb4097134ff3c332f>
    <TaxCatchAll xmlns="58a6f171-52cb-4404-b47d-af1c8daf8fd1" xsi:nil="true"/>
    <MfE_ECM_SubSecurityLevel xmlns="f3702602-1923-414e-b8fa-1cf1166a04f9" xsi:nil="true"/>
    <MfE_ECM_Author xmlns="f3702602-1923-414e-b8fa-1cf1166a04f9" xsi:nil="true"/>
    <MfE_ECM_SecurityLevel xmlns="f3702602-1923-414e-b8fa-1cf1166a04f9" xsi:nil="true"/>
    <MfE_ECM_PageCount xmlns="f3702602-1923-414e-b8fa-1cf1166a04f9" xsi:nil="true"/>
    <MfE_ECM_Director xmlns="f3702602-1923-414e-b8fa-1cf1166a04f9" xsi:nil="true"/>
    <_dlc_DocIdUrl xmlns="58a6f171-52cb-4404-b47d-af1c8daf8fd1">
      <Url>https://ministryforenvironment.sharepoint.com/sites/ECM-MS-TM/_layouts/15/DocIdRedir.aspx?ID=ECM-1957364731-235787</Url>
      <Description>ECM-1957364731-235787</Description>
    </_dlc_DocIdUrl>
  </documentManagement>
</p:properties>
</file>

<file path=customXml/itemProps1.xml><?xml version="1.0" encoding="utf-8"?>
<ds:datastoreItem xmlns:ds="http://schemas.openxmlformats.org/officeDocument/2006/customXml" ds:itemID="{7B522887-3D16-4716-9454-682670AF229C}"/>
</file>

<file path=customXml/itemProps2.xml><?xml version="1.0" encoding="utf-8"?>
<ds:datastoreItem xmlns:ds="http://schemas.openxmlformats.org/officeDocument/2006/customXml" ds:itemID="{191CDA45-D5D1-431C-82B1-0393EF61DBD5}"/>
</file>

<file path=customXml/itemProps3.xml><?xml version="1.0" encoding="utf-8"?>
<ds:datastoreItem xmlns:ds="http://schemas.openxmlformats.org/officeDocument/2006/customXml" ds:itemID="{D7D49664-A03C-43B5-9938-801EA1FC1CE0}"/>
</file>

<file path=customXml/itemProps4.xml><?xml version="1.0" encoding="utf-8"?>
<ds:datastoreItem xmlns:ds="http://schemas.openxmlformats.org/officeDocument/2006/customXml" ds:itemID="{7BA52BB0-3AD3-4174-BEB0-A67EB412D7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Model description</vt:lpstr>
      <vt:lpstr>Harvest calc</vt:lpstr>
      <vt:lpstr>Emission factors</vt:lpstr>
      <vt:lpstr>Assumptions</vt:lpstr>
      <vt:lpstr>Investment results</vt:lpstr>
      <vt:lpstr>AOCL calculations</vt:lpstr>
      <vt:lpstr>Farm data</vt:lpstr>
      <vt:lpstr>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2025-03-06T04:40:21Z</dcterms:created>
  <dcterms:modified xsi:type="dcterms:W3CDTF">2025-03-06T04:40:37Z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Point_SubmissionDate">
    <vt:lpwstr/>
  </property>
  <property fmtid="{D5CDD505-2E9C-101B-9397-08002B2CF9AE}" pid="3" name="TaxKeyword">
    <vt:lpwstr/>
  </property>
  <property fmtid="{D5CDD505-2E9C-101B-9397-08002B2CF9AE}" pid="4" name="RecordPoint_RecordNumberSubmitted">
    <vt:lpwstr/>
  </property>
  <property fmtid="{D5CDD505-2E9C-101B-9397-08002B2CF9AE}" pid="5" name="MediaServiceImageTags">
    <vt:lpwstr/>
  </property>
  <property fmtid="{D5CDD505-2E9C-101B-9397-08002B2CF9AE}" pid="6" name="ContentTypeId">
    <vt:lpwstr>0x01010017373BD072151744BF62D2EC2F5E4683007AA43A2A80FCE5469E535CECA04EF9F2</vt:lpwstr>
  </property>
  <property fmtid="{D5CDD505-2E9C-101B-9397-08002B2CF9AE}" pid="7" name="MPISecurityClassification">
    <vt:lpwstr>1;#None|cf402fa0-b6a8-49a7-a22e-a95b6152c608</vt:lpwstr>
  </property>
  <property fmtid="{D5CDD505-2E9C-101B-9397-08002B2CF9AE}" pid="8" name="RecordPoint_WorkflowType">
    <vt:lpwstr/>
  </property>
  <property fmtid="{D5CDD505-2E9C-101B-9397-08002B2CF9AE}" pid="9" name="MSIP_Label_52dda6cc-d61d-4fd2-bf18-9b3017d931cc_Enabled">
    <vt:lpwstr>true</vt:lpwstr>
  </property>
  <property fmtid="{D5CDD505-2E9C-101B-9397-08002B2CF9AE}" pid="10" name="RecordPoint_ActiveItemSiteId">
    <vt:lpwstr/>
  </property>
  <property fmtid="{D5CDD505-2E9C-101B-9397-08002B2CF9AE}" pid="11" name="RecordPoint_ActiveItemListId">
    <vt:lpwstr/>
  </property>
  <property fmtid="{D5CDD505-2E9C-101B-9397-08002B2CF9AE}" pid="12" name="RecordPoint_ActiveItemMoved">
    <vt:lpwstr/>
  </property>
  <property fmtid="{D5CDD505-2E9C-101B-9397-08002B2CF9AE}" pid="13" name="RecordPoint_SubmissionCompleted">
    <vt:lpwstr/>
  </property>
  <property fmtid="{D5CDD505-2E9C-101B-9397-08002B2CF9AE}" pid="14" name="MSIP_Label_52dda6cc-d61d-4fd2-bf18-9b3017d931cc_SetDate">
    <vt:lpwstr>2021-04-07T01:30:06Z</vt:lpwstr>
  </property>
  <property fmtid="{D5CDD505-2E9C-101B-9397-08002B2CF9AE}" pid="15" name="MSIP_Label_52dda6cc-d61d-4fd2-bf18-9b3017d931cc_Method">
    <vt:lpwstr>Privileged</vt:lpwstr>
  </property>
  <property fmtid="{D5CDD505-2E9C-101B-9397-08002B2CF9AE}" pid="16" name="MSIP_Label_52dda6cc-d61d-4fd2-bf18-9b3017d931cc_SiteId">
    <vt:lpwstr>761dd003-d4ff-4049-8a72-8549b20fcbb1</vt:lpwstr>
  </property>
  <property fmtid="{D5CDD505-2E9C-101B-9397-08002B2CF9AE}" pid="17" name="MSIP_Label_52dda6cc-d61d-4fd2-bf18-9b3017d931cc_Name">
    <vt:lpwstr>[UNCLASSIFIED]</vt:lpwstr>
  </property>
  <property fmtid="{D5CDD505-2E9C-101B-9397-08002B2CF9AE}" pid="18" name="MSIP_Label_52dda6cc-d61d-4fd2-bf18-9b3017d931cc_ContentBits">
    <vt:lpwstr>0</vt:lpwstr>
  </property>
  <property fmtid="{D5CDD505-2E9C-101B-9397-08002B2CF9AE}" pid="19" name="RecordPoint_ActiveItemWebId">
    <vt:lpwstr/>
  </property>
  <property fmtid="{D5CDD505-2E9C-101B-9397-08002B2CF9AE}" pid="20" name="C3Topic">
    <vt:lpwstr/>
  </property>
  <property fmtid="{D5CDD505-2E9C-101B-9397-08002B2CF9AE}" pid="21" name="_dlc_DocIdItemGuid">
    <vt:lpwstr>c4d70e4d-038c-4951-823c-729682815e20</vt:lpwstr>
  </property>
  <property fmtid="{D5CDD505-2E9C-101B-9397-08002B2CF9AE}" pid="22" name="MSIP_Label_52dda6cc-d61d-4fd2-bf18-9b3017d931cc_ActionId">
    <vt:lpwstr>1eaa76a2-dc1c-4e54-ba68-d425dfd386bd</vt:lpwstr>
  </property>
  <property fmtid="{D5CDD505-2E9C-101B-9397-08002B2CF9AE}" pid="23" name="RecordPoint_RecordFormat">
    <vt:lpwstr/>
  </property>
  <property fmtid="{D5CDD505-2E9C-101B-9397-08002B2CF9AE}" pid="24" name="RecordPoint_ActiveItemUniqueId">
    <vt:lpwstr/>
  </property>
  <property fmtid="{D5CDD505-2E9C-101B-9397-08002B2CF9AE}" pid="25" name="PingarMPI_Terms">
    <vt:lpwstr/>
  </property>
</Properties>
</file>