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feprodfps01\BurstonL$\Desktop\"/>
    </mc:Choice>
  </mc:AlternateContent>
  <xr:revisionPtr revIDLastSave="0" documentId="8_{1F1A11B5-0581-443C-BA2B-D457DD7139D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15 Dec Update" sheetId="1" r:id="rId1"/>
    <sheet name="Summary" sheetId="2" r:id="rId2"/>
    <sheet name="buying and sell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B2" i="3"/>
  <c r="D4" i="1"/>
  <c r="E4" i="1"/>
  <c r="F4" i="1"/>
  <c r="G4" i="1"/>
  <c r="H4" i="1"/>
  <c r="I4" i="1"/>
  <c r="C4" i="1"/>
  <c r="N5" i="1"/>
  <c r="B79" i="2" l="1"/>
  <c r="B80" i="2"/>
  <c r="B81" i="2"/>
  <c r="B78" i="2"/>
  <c r="D20" i="1"/>
  <c r="E20" i="1"/>
  <c r="F20" i="1"/>
  <c r="G20" i="1"/>
  <c r="H20" i="1"/>
  <c r="I20" i="1"/>
  <c r="C20" i="1"/>
  <c r="Q17" i="1"/>
  <c r="X17" i="1" s="1"/>
  <c r="AE17" i="1" s="1"/>
  <c r="J17" i="1"/>
  <c r="E16" i="1" l="1"/>
  <c r="F16" i="1"/>
  <c r="G16" i="1"/>
  <c r="H16" i="1"/>
  <c r="I16" i="1"/>
  <c r="C16" i="1"/>
  <c r="K9" i="1"/>
  <c r="AF17" i="1"/>
  <c r="Y17" i="1"/>
  <c r="R17" i="1"/>
  <c r="K17" i="1"/>
  <c r="B3" i="2" l="1"/>
  <c r="C21" i="1"/>
  <c r="C22" i="1" s="1"/>
  <c r="C18" i="1"/>
  <c r="C19" i="1" s="1"/>
  <c r="C77" i="2" s="1"/>
  <c r="B9" i="2"/>
  <c r="I21" i="1"/>
  <c r="I22" i="1" s="1"/>
  <c r="B8" i="2"/>
  <c r="H21" i="1"/>
  <c r="H22" i="1" s="1"/>
  <c r="B7" i="2"/>
  <c r="G21" i="1"/>
  <c r="G22" i="1" s="1"/>
  <c r="B6" i="2"/>
  <c r="F21" i="1"/>
  <c r="F22" i="1" s="1"/>
  <c r="B5" i="2"/>
  <c r="E21" i="1"/>
  <c r="E22" i="1" s="1"/>
  <c r="D16" i="1"/>
  <c r="K10" i="1"/>
  <c r="B4" i="2" l="1"/>
  <c r="D21" i="1"/>
  <c r="D22" i="1" s="1"/>
  <c r="D18" i="1"/>
  <c r="D19" i="1" s="1"/>
  <c r="C48" i="2" s="1"/>
  <c r="B11" i="2"/>
  <c r="B12" i="2" s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M5" i="1"/>
  <c r="L5" i="1"/>
  <c r="K5" i="1"/>
  <c r="J5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J10" i="1"/>
  <c r="I10" i="1"/>
  <c r="H10" i="1"/>
  <c r="G10" i="1"/>
  <c r="F10" i="1"/>
  <c r="E10" i="1"/>
  <c r="D10" i="1"/>
  <c r="C10" i="1"/>
  <c r="Y9" i="1"/>
  <c r="AK9" i="1"/>
  <c r="AJ9" i="1"/>
  <c r="AI9" i="1"/>
  <c r="AH9" i="1"/>
  <c r="AG9" i="1"/>
  <c r="AF9" i="1"/>
  <c r="AE9" i="1"/>
  <c r="AD9" i="1"/>
  <c r="AC9" i="1"/>
  <c r="AB9" i="1"/>
  <c r="AA9" i="1"/>
  <c r="Z9" i="1"/>
  <c r="X9" i="1"/>
  <c r="W9" i="1"/>
  <c r="V9" i="1"/>
  <c r="U9" i="1"/>
  <c r="T9" i="1"/>
  <c r="S9" i="1"/>
  <c r="R9" i="1"/>
  <c r="Q9" i="1"/>
  <c r="P9" i="1"/>
  <c r="O9" i="1"/>
  <c r="N9" i="1"/>
  <c r="M9" i="1"/>
  <c r="L9" i="1"/>
  <c r="J9" i="1"/>
  <c r="I9" i="1"/>
  <c r="H9" i="1"/>
  <c r="G9" i="1"/>
  <c r="F9" i="1"/>
  <c r="E9" i="1"/>
  <c r="D9" i="1"/>
  <c r="C9" i="1"/>
  <c r="AF3" i="1"/>
  <c r="AG3" i="1" s="1"/>
  <c r="AH3" i="1" s="1"/>
  <c r="AI3" i="1" s="1"/>
  <c r="AJ3" i="1" s="1"/>
  <c r="AK3" i="1" s="1"/>
  <c r="Y3" i="1"/>
  <c r="Z3" i="1" s="1"/>
  <c r="AA3" i="1" s="1"/>
  <c r="AB3" i="1" s="1"/>
  <c r="AC3" i="1" s="1"/>
  <c r="AD3" i="1" s="1"/>
  <c r="R3" i="1"/>
  <c r="S3" i="1" s="1"/>
  <c r="T3" i="1" s="1"/>
  <c r="U3" i="1" s="1"/>
  <c r="V3" i="1" s="1"/>
  <c r="W3" i="1" s="1"/>
  <c r="K3" i="1"/>
  <c r="L3" i="1" s="1"/>
  <c r="M3" i="1" s="1"/>
  <c r="N3" i="1" s="1"/>
  <c r="O3" i="1" s="1"/>
  <c r="P3" i="1" s="1"/>
  <c r="D3" i="1"/>
  <c r="E3" i="1" s="1"/>
  <c r="F3" i="1" s="1"/>
  <c r="G3" i="1" s="1"/>
  <c r="H3" i="1" s="1"/>
  <c r="I3" i="1" s="1"/>
  <c r="H5" i="1"/>
  <c r="I5" i="1"/>
  <c r="H6" i="1"/>
  <c r="H7" i="1" s="1"/>
  <c r="I6" i="1"/>
  <c r="I8" i="1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C6" i="1"/>
  <c r="C7" i="1" s="1"/>
  <c r="C5" i="1"/>
  <c r="G12" i="1" l="1"/>
  <c r="F12" i="1"/>
  <c r="E12" i="1"/>
  <c r="B52" i="2"/>
  <c r="B51" i="2"/>
  <c r="B50" i="2"/>
  <c r="I12" i="1"/>
  <c r="B49" i="2"/>
  <c r="D12" i="1"/>
  <c r="H8" i="1"/>
  <c r="H12" i="1" s="1"/>
  <c r="I7" i="1"/>
  <c r="C8" i="1"/>
  <c r="C12" i="1" s="1"/>
  <c r="AK6" i="1" l="1"/>
  <c r="AK7" i="1" s="1"/>
  <c r="AJ6" i="1"/>
  <c r="AJ7" i="1" s="1"/>
  <c r="AI6" i="1"/>
  <c r="AI7" i="1" s="1"/>
  <c r="AH6" i="1"/>
  <c r="AH7" i="1" s="1"/>
  <c r="AG6" i="1"/>
  <c r="AG7" i="1" s="1"/>
  <c r="AF6" i="1"/>
  <c r="AF7" i="1" s="1"/>
  <c r="AE6" i="1"/>
  <c r="AE7" i="1" s="1"/>
  <c r="AD6" i="1"/>
  <c r="AD7" i="1" s="1"/>
  <c r="AC6" i="1"/>
  <c r="AC7" i="1" s="1"/>
  <c r="AB6" i="1"/>
  <c r="AB7" i="1" s="1"/>
  <c r="AA6" i="1"/>
  <c r="AA7" i="1" s="1"/>
  <c r="Z6" i="1"/>
  <c r="Z7" i="1" s="1"/>
  <c r="Y6" i="1"/>
  <c r="Y7" i="1" s="1"/>
  <c r="X6" i="1"/>
  <c r="X7" i="1" s="1"/>
  <c r="W6" i="1"/>
  <c r="W7" i="1" s="1"/>
  <c r="V6" i="1"/>
  <c r="V7" i="1" s="1"/>
  <c r="U6" i="1"/>
  <c r="U7" i="1" s="1"/>
  <c r="T6" i="1"/>
  <c r="T7" i="1" s="1"/>
  <c r="S6" i="1"/>
  <c r="S7" i="1" s="1"/>
  <c r="R6" i="1"/>
  <c r="R7" i="1" s="1"/>
  <c r="Q6" i="1"/>
  <c r="Q7" i="1" s="1"/>
  <c r="P6" i="1"/>
  <c r="P7" i="1" s="1"/>
  <c r="O6" i="1"/>
  <c r="O7" i="1" s="1"/>
  <c r="N6" i="1"/>
  <c r="N7" i="1" s="1"/>
  <c r="M6" i="1"/>
  <c r="M7" i="1" s="1"/>
  <c r="L6" i="1"/>
  <c r="L7" i="1" s="1"/>
  <c r="K6" i="1"/>
  <c r="J6" i="1"/>
  <c r="J8" i="1" s="1"/>
  <c r="J11" i="1" l="1"/>
  <c r="J16" i="1" s="1"/>
  <c r="K7" i="1"/>
  <c r="K8" i="1"/>
  <c r="K12" i="1"/>
  <c r="Q8" i="1"/>
  <c r="U8" i="1"/>
  <c r="AG8" i="1"/>
  <c r="J7" i="1"/>
  <c r="AH8" i="1"/>
  <c r="Y8" i="1"/>
  <c r="AC8" i="1"/>
  <c r="AK8" i="1"/>
  <c r="V8" i="1"/>
  <c r="V12" i="1" s="1"/>
  <c r="Z8" i="1"/>
  <c r="Z12" i="1" s="1"/>
  <c r="N8" i="1"/>
  <c r="AD8" i="1"/>
  <c r="AD12" i="1" s="1"/>
  <c r="R8" i="1"/>
  <c r="M8" i="1"/>
  <c r="M12" i="1" s="1"/>
  <c r="T8" i="1"/>
  <c r="T12" i="1" s="1"/>
  <c r="AA8" i="1"/>
  <c r="AA12" i="1" s="1"/>
  <c r="O8" i="1"/>
  <c r="O12" i="1" s="1"/>
  <c r="S8" i="1"/>
  <c r="S12" i="1" s="1"/>
  <c r="W8" i="1"/>
  <c r="W12" i="1" s="1"/>
  <c r="AE8" i="1"/>
  <c r="AI8" i="1"/>
  <c r="AI12" i="1" s="1"/>
  <c r="L8" i="1"/>
  <c r="P8" i="1"/>
  <c r="X8" i="1"/>
  <c r="AB8" i="1"/>
  <c r="AB12" i="1" s="1"/>
  <c r="AF8" i="1"/>
  <c r="AJ8" i="1"/>
  <c r="AJ12" i="1" s="1"/>
  <c r="AF12" i="1" l="1"/>
  <c r="C6" i="3"/>
  <c r="X12" i="1"/>
  <c r="B5" i="3"/>
  <c r="L12" i="1"/>
  <c r="B3" i="3"/>
  <c r="AE12" i="1"/>
  <c r="B6" i="3"/>
  <c r="D6" i="3" s="1"/>
  <c r="C4" i="3"/>
  <c r="N12" i="1"/>
  <c r="N11" i="1"/>
  <c r="N16" i="1" s="1"/>
  <c r="C5" i="3"/>
  <c r="B4" i="3"/>
  <c r="D4" i="3" s="1"/>
  <c r="C3" i="3"/>
  <c r="D3" i="3" s="1"/>
  <c r="K11" i="1"/>
  <c r="K16" i="1" s="1"/>
  <c r="C3" i="2"/>
  <c r="J21" i="1"/>
  <c r="J22" i="1" s="1"/>
  <c r="J18" i="1"/>
  <c r="J19" i="1" s="1"/>
  <c r="C78" i="2" s="1"/>
  <c r="P12" i="1"/>
  <c r="P11" i="1"/>
  <c r="P16" i="1" s="1"/>
  <c r="C4" i="2"/>
  <c r="K21" i="1"/>
  <c r="K22" i="1" s="1"/>
  <c r="K18" i="1"/>
  <c r="K19" i="1" s="1"/>
  <c r="C49" i="2" s="1"/>
  <c r="K13" i="1"/>
  <c r="R12" i="1"/>
  <c r="R11" i="1"/>
  <c r="AG11" i="1"/>
  <c r="AG12" i="1"/>
  <c r="J13" i="1"/>
  <c r="J12" i="1"/>
  <c r="U11" i="1"/>
  <c r="U12" i="1"/>
  <c r="AH11" i="1"/>
  <c r="AH12" i="1"/>
  <c r="Q11" i="1"/>
  <c r="Q12" i="1"/>
  <c r="AC11" i="1"/>
  <c r="AC12" i="1"/>
  <c r="Y11" i="1"/>
  <c r="Y16" i="1" s="1"/>
  <c r="Y12" i="1"/>
  <c r="AK11" i="1"/>
  <c r="AK12" i="1"/>
  <c r="V11" i="1"/>
  <c r="AB11" i="1"/>
  <c r="T11" i="1"/>
  <c r="X11" i="1"/>
  <c r="N13" i="1"/>
  <c r="AJ11" i="1"/>
  <c r="P13" i="1"/>
  <c r="AI11" i="1"/>
  <c r="O11" i="1"/>
  <c r="AA11" i="1"/>
  <c r="M11" i="1"/>
  <c r="R13" i="1"/>
  <c r="W11" i="1"/>
  <c r="AD11" i="1"/>
  <c r="Z11" i="1"/>
  <c r="S11" i="1"/>
  <c r="AF11" i="1"/>
  <c r="AF16" i="1" s="1"/>
  <c r="L11" i="1"/>
  <c r="AE11" i="1"/>
  <c r="AE13" i="1" l="1"/>
  <c r="AE16" i="1"/>
  <c r="F4" i="2"/>
  <c r="AF21" i="1"/>
  <c r="AF22" i="1" s="1"/>
  <c r="S13" i="1"/>
  <c r="S16" i="1"/>
  <c r="Z13" i="1"/>
  <c r="Z16" i="1"/>
  <c r="AD13" i="1"/>
  <c r="AD16" i="1"/>
  <c r="W13" i="1"/>
  <c r="W16" i="1"/>
  <c r="AA13" i="1"/>
  <c r="AA16" i="1"/>
  <c r="AI13" i="1"/>
  <c r="AI16" i="1"/>
  <c r="AJ13" i="1"/>
  <c r="AJ16" i="1"/>
  <c r="X13" i="1"/>
  <c r="X16" i="1"/>
  <c r="T13" i="1"/>
  <c r="T16" i="1"/>
  <c r="AB13" i="1"/>
  <c r="AB16" i="1"/>
  <c r="V13" i="1"/>
  <c r="V16" i="1"/>
  <c r="AK13" i="1"/>
  <c r="AK16" i="1"/>
  <c r="E4" i="2"/>
  <c r="Y21" i="1"/>
  <c r="Y22" i="1" s="1"/>
  <c r="AC13" i="1"/>
  <c r="AC16" i="1"/>
  <c r="Q13" i="1"/>
  <c r="Q16" i="1"/>
  <c r="AH13" i="1"/>
  <c r="AH16" i="1"/>
  <c r="U13" i="1"/>
  <c r="U16" i="1"/>
  <c r="AG13" i="1"/>
  <c r="AG16" i="1"/>
  <c r="R16" i="1"/>
  <c r="C7" i="2"/>
  <c r="N21" i="1"/>
  <c r="N22" i="1" s="1"/>
  <c r="D5" i="3"/>
  <c r="L13" i="1"/>
  <c r="O15" i="1"/>
  <c r="L16" i="1"/>
  <c r="C9" i="2"/>
  <c r="P21" i="1"/>
  <c r="P22" i="1" s="1"/>
  <c r="O13" i="1"/>
  <c r="O16" i="1"/>
  <c r="M13" i="1"/>
  <c r="M16" i="1"/>
  <c r="P15" i="1"/>
  <c r="AF13" i="1"/>
  <c r="AF18" i="1"/>
  <c r="AF19" i="1" s="1"/>
  <c r="C52" i="2" s="1"/>
  <c r="Y13" i="1"/>
  <c r="Y18" i="1"/>
  <c r="Y19" i="1" s="1"/>
  <c r="C51" i="2" s="1"/>
  <c r="D4" i="2" l="1"/>
  <c r="R21" i="1"/>
  <c r="R22" i="1" s="1"/>
  <c r="R18" i="1"/>
  <c r="R19" i="1" s="1"/>
  <c r="C50" i="2" s="1"/>
  <c r="F5" i="2"/>
  <c r="AG21" i="1"/>
  <c r="AG22" i="1" s="1"/>
  <c r="D7" i="2"/>
  <c r="U21" i="1"/>
  <c r="U22" i="1" s="1"/>
  <c r="F6" i="2"/>
  <c r="AH21" i="1"/>
  <c r="AH22" i="1" s="1"/>
  <c r="Q18" i="1"/>
  <c r="Q19" i="1" s="1"/>
  <c r="C79" i="2" s="1"/>
  <c r="D3" i="2"/>
  <c r="Q21" i="1"/>
  <c r="Q22" i="1" s="1"/>
  <c r="E8" i="2"/>
  <c r="AC21" i="1"/>
  <c r="AC22" i="1" s="1"/>
  <c r="F9" i="2"/>
  <c r="AK21" i="1"/>
  <c r="AK22" i="1" s="1"/>
  <c r="D8" i="2"/>
  <c r="V21" i="1"/>
  <c r="V22" i="1" s="1"/>
  <c r="E7" i="2"/>
  <c r="AB21" i="1"/>
  <c r="AB22" i="1" s="1"/>
  <c r="D6" i="2"/>
  <c r="T21" i="1"/>
  <c r="T22" i="1" s="1"/>
  <c r="X18" i="1"/>
  <c r="X19" i="1" s="1"/>
  <c r="C80" i="2" s="1"/>
  <c r="E3" i="2"/>
  <c r="X21" i="1"/>
  <c r="X22" i="1" s="1"/>
  <c r="F8" i="2"/>
  <c r="AJ21" i="1"/>
  <c r="AJ22" i="1" s="1"/>
  <c r="F7" i="2"/>
  <c r="AI21" i="1"/>
  <c r="AI22" i="1" s="1"/>
  <c r="E6" i="2"/>
  <c r="AA21" i="1"/>
  <c r="AA22" i="1" s="1"/>
  <c r="D9" i="2"/>
  <c r="W21" i="1"/>
  <c r="W22" i="1" s="1"/>
  <c r="E9" i="2"/>
  <c r="AD21" i="1"/>
  <c r="AD22" i="1" s="1"/>
  <c r="E5" i="2"/>
  <c r="Z21" i="1"/>
  <c r="Z22" i="1" s="1"/>
  <c r="D5" i="2"/>
  <c r="S21" i="1"/>
  <c r="S22" i="1" s="1"/>
  <c r="AE18" i="1"/>
  <c r="AE19" i="1" s="1"/>
  <c r="C81" i="2" s="1"/>
  <c r="F3" i="2"/>
  <c r="F11" i="2" s="1"/>
  <c r="F12" i="2" s="1"/>
  <c r="AE21" i="1"/>
  <c r="AE22" i="1" s="1"/>
  <c r="C6" i="2"/>
  <c r="M21" i="1"/>
  <c r="M22" i="1" s="1"/>
  <c r="C8" i="2"/>
  <c r="O21" i="1"/>
  <c r="O22" i="1" s="1"/>
  <c r="C5" i="2"/>
  <c r="C11" i="2" s="1"/>
  <c r="C12" i="2" s="1"/>
  <c r="L21" i="1"/>
  <c r="L22" i="1" s="1"/>
  <c r="E11" i="2" l="1"/>
  <c r="E12" i="2" s="1"/>
  <c r="D11" i="2"/>
  <c r="D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Lotte Blair</author>
    <author>Windows User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Lotte Blair:</t>
        </r>
        <r>
          <rPr>
            <sz val="9"/>
            <color indexed="81"/>
            <rFont val="Tahoma"/>
            <charset val="1"/>
          </rPr>
          <t xml:space="preserve">
Should this be in units of 1 billion not 10 billion? Because the figures in row 7 have been multiplied by ten. </t>
        </r>
      </text>
    </comment>
    <comment ref="A13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Abatement &gt; Permits required to sell to meet GDP target
</t>
        </r>
      </text>
    </comment>
    <comment ref="C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Lotte Blair:</t>
        </r>
        <r>
          <rPr>
            <sz val="9"/>
            <color indexed="81"/>
            <rFont val="Tahoma"/>
            <family val="2"/>
          </rPr>
          <t xml:space="preserve"> From UNFCCC
Gross emissions. Net emissions were 545.495</t>
        </r>
      </text>
    </comment>
    <comment ref="D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Lotte Blair:</t>
        </r>
        <r>
          <rPr>
            <sz val="9"/>
            <color indexed="81"/>
            <rFont val="Tahoma"/>
            <family val="2"/>
          </rPr>
          <t xml:space="preserve">
From UNFCCC. Gross emissions</t>
        </r>
      </text>
    </comment>
  </commentList>
</comments>
</file>

<file path=xl/sharedStrings.xml><?xml version="1.0" encoding="utf-8"?>
<sst xmlns="http://schemas.openxmlformats.org/spreadsheetml/2006/main" count="332" uniqueCount="70">
  <si>
    <t>2032 GDP Impacts Scenarios</t>
  </si>
  <si>
    <t>AUS</t>
  </si>
  <si>
    <t>NZL</t>
  </si>
  <si>
    <t>CHN</t>
  </si>
  <si>
    <t>NAM</t>
  </si>
  <si>
    <t>OECD</t>
  </si>
  <si>
    <t>ROW</t>
  </si>
  <si>
    <t>WorldTot</t>
  </si>
  <si>
    <t>Category</t>
  </si>
  <si>
    <t>Unit</t>
  </si>
  <si>
    <t>Base</t>
  </si>
  <si>
    <t>NO</t>
  </si>
  <si>
    <t>BAU GDP</t>
  </si>
  <si>
    <t>Target GDP</t>
  </si>
  <si>
    <t>10 billion NZD</t>
  </si>
  <si>
    <t>Actual GDP</t>
  </si>
  <si>
    <t>GDP Impact</t>
  </si>
  <si>
    <t>% from base</t>
  </si>
  <si>
    <t>Deficit Adjustment Value</t>
  </si>
  <si>
    <r>
      <t>10 billion NZD (Sell/</t>
    </r>
    <r>
      <rPr>
        <sz val="10"/>
        <color rgb="FFFF0000"/>
        <rFont val="Arial"/>
        <family val="2"/>
      </rPr>
      <t>Buy</t>
    </r>
    <r>
      <rPr>
        <sz val="10"/>
        <color theme="1"/>
        <rFont val="Arial"/>
        <family val="2"/>
      </rPr>
      <t>)</t>
    </r>
  </si>
  <si>
    <t>Abatement</t>
  </si>
  <si>
    <t>MtCO2e</t>
  </si>
  <si>
    <t>GHG Reduction</t>
  </si>
  <si>
    <t>Permits Required</t>
  </si>
  <si>
    <r>
      <t>MtCO2e (Sell/</t>
    </r>
    <r>
      <rPr>
        <sz val="10"/>
        <color rgb="FFFF0000"/>
        <rFont val="Arial"/>
        <family val="2"/>
      </rPr>
      <t>Buy</t>
    </r>
    <r>
      <rPr>
        <sz val="10"/>
        <color theme="1"/>
        <rFont val="Arial"/>
        <family val="2"/>
      </rPr>
      <t>)</t>
    </r>
  </si>
  <si>
    <t>New GDP Impact</t>
  </si>
  <si>
    <t>%</t>
  </si>
  <si>
    <t>Feasible?</t>
  </si>
  <si>
    <r>
      <t>YES/</t>
    </r>
    <r>
      <rPr>
        <sz val="10"/>
        <color rgb="FFFF0000"/>
        <rFont val="Arial"/>
        <family val="2"/>
      </rPr>
      <t>NO</t>
    </r>
  </si>
  <si>
    <t>n/a</t>
  </si>
  <si>
    <t>Emissions in 2032 (incl purchasing)  (Mt)</t>
  </si>
  <si>
    <t>1990 emissions</t>
  </si>
  <si>
    <t>2032 as % of 1990</t>
  </si>
  <si>
    <t>Change from 1990</t>
  </si>
  <si>
    <t>2007 emissions</t>
  </si>
  <si>
    <t>2032 as % of 2007</t>
  </si>
  <si>
    <t>Change from 2007</t>
  </si>
  <si>
    <t>GDP (10 billion 2012 NZD)</t>
  </si>
  <si>
    <t>Year</t>
  </si>
  <si>
    <t>base</t>
  </si>
  <si>
    <t>MAC_gdp_0_5</t>
  </si>
  <si>
    <t>MAC_gdp_1_0</t>
  </si>
  <si>
    <t>MAC_gdp_1_5</t>
  </si>
  <si>
    <t>MAC_gdp_2_0</t>
  </si>
  <si>
    <t>GHG (GtCO2e/yr)</t>
  </si>
  <si>
    <t>GHG Price ($/tCO2e)</t>
  </si>
  <si>
    <t xml:space="preserve">Net emissions in 2032 (after abatement and puchasing) </t>
  </si>
  <si>
    <t>BAU</t>
  </si>
  <si>
    <t>0.5% GDP</t>
  </si>
  <si>
    <t>1.0% GDP</t>
  </si>
  <si>
    <t>1.5% GDP</t>
  </si>
  <si>
    <t>2.0% GDP</t>
  </si>
  <si>
    <t>Australia</t>
  </si>
  <si>
    <t>New Zealand</t>
  </si>
  <si>
    <t>China</t>
  </si>
  <si>
    <t>North America</t>
  </si>
  <si>
    <t>Rest of OECD</t>
  </si>
  <si>
    <t>World total</t>
  </si>
  <si>
    <t>Check total</t>
  </si>
  <si>
    <t>Disparity</t>
  </si>
  <si>
    <t>Scenario</t>
  </si>
  <si>
    <t>Total cost (billion)</t>
  </si>
  <si>
    <t>Target from 1990</t>
  </si>
  <si>
    <t>units for sale ($)</t>
  </si>
  <si>
    <t>units purchased ($)</t>
  </si>
  <si>
    <t>Surplus/ defecit</t>
  </si>
  <si>
    <t>Diagnosis</t>
  </si>
  <si>
    <t>No purchasing</t>
  </si>
  <si>
    <t>More people buying</t>
  </si>
  <si>
    <t>More people selling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</si>
</sst>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0.0%"/>
    <numFmt numFmtId="166" formatCode="&quot;$&quot;#,##0.00"/>
    <numFmt numFmtId="167" formatCode="&quot;$&quot;#,##0.0"/>
    <numFmt numFmtId="168" formatCode="0_ ;[Red]\-0\ "/>
    <numFmt numFmtId="169" formatCode="&quot;$&quot;#,##0.0;[Red]\-&quot;$&quot;#,##0.0"/>
    <numFmt numFmtId="170" formatCode="_-* #,##0.000_-;\-* #,##0.000_-;_-* &quot;-&quot;??_-;_-@_-"/>
    <numFmt numFmtId="171" formatCode="0.000"/>
    <numFmt numFmtId="172" formatCode="&quot;$&quot;#,##0.000"/>
    <numFmt numFmtId="173" formatCode="0.0_ ;[Red]\-0.0\ "/>
    <numFmt numFmtId="174" formatCode="_-&quot;$&quot;* #,##0_-;\-&quot;$&quot;* #,##0_-;_-&quot;$&quot;* &quot;-&quot;??_-;_-@_-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7030A0"/>
      <name val="Arial"/>
      <family val="2"/>
    </font>
    <font>
      <b/>
      <sz val="9"/>
      <color indexed="81"/>
      <name val="Tahoma"/>
      <family val="2"/>
    </font>
    <font>
      <sz val="10"/>
      <color theme="7" tint="0.59999389629810485"/>
      <name val="Arial"/>
      <family val="2"/>
    </font>
    <font>
      <b/>
      <sz val="10"/>
      <color theme="7" tint="0.5999938962981048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1" applyNumberFormat="1" applyFont="1"/>
    <xf numFmtId="0" fontId="2" fillId="0" borderId="0" xfId="0" applyFont="1"/>
    <xf numFmtId="165" fontId="2" fillId="0" borderId="0" xfId="1" applyNumberFormat="1" applyFont="1"/>
    <xf numFmtId="166" fontId="0" fillId="0" borderId="0" xfId="0" applyNumberFormat="1"/>
    <xf numFmtId="165" fontId="0" fillId="3" borderId="2" xfId="1" applyNumberFormat="1" applyFont="1" applyFill="1" applyBorder="1"/>
    <xf numFmtId="0" fontId="3" fillId="0" borderId="0" xfId="0" applyFont="1"/>
    <xf numFmtId="164" fontId="0" fillId="0" borderId="0" xfId="1" applyNumberFormat="1" applyFont="1" applyBorder="1"/>
    <xf numFmtId="164" fontId="0" fillId="0" borderId="6" xfId="1" applyNumberFormat="1" applyFont="1" applyBorder="1"/>
    <xf numFmtId="164" fontId="0" fillId="0" borderId="6" xfId="0" applyNumberFormat="1" applyBorder="1"/>
    <xf numFmtId="165" fontId="0" fillId="3" borderId="8" xfId="1" applyNumberFormat="1" applyFont="1" applyFill="1" applyBorder="1"/>
    <xf numFmtId="6" fontId="0" fillId="0" borderId="0" xfId="0" applyNumberFormat="1"/>
    <xf numFmtId="6" fontId="0" fillId="0" borderId="6" xfId="0" applyNumberFormat="1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/>
    <xf numFmtId="0" fontId="0" fillId="3" borderId="8" xfId="0" applyFill="1" applyBorder="1"/>
    <xf numFmtId="0" fontId="0" fillId="2" borderId="7" xfId="0" applyFill="1" applyBorder="1"/>
    <xf numFmtId="0" fontId="0" fillId="2" borderId="8" xfId="0" applyFill="1" applyBorder="1"/>
    <xf numFmtId="165" fontId="0" fillId="2" borderId="2" xfId="1" applyNumberFormat="1" applyFont="1" applyFill="1" applyBorder="1"/>
    <xf numFmtId="165" fontId="0" fillId="2" borderId="8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8" xfId="1" applyNumberFormat="1" applyFont="1" applyBorder="1" applyAlignment="1">
      <alignment horizontal="center" vertical="center" wrapText="1"/>
    </xf>
    <xf numFmtId="1" fontId="0" fillId="0" borderId="7" xfId="0" applyNumberFormat="1" applyBorder="1"/>
    <xf numFmtId="1" fontId="0" fillId="0" borderId="8" xfId="0" applyNumberFormat="1" applyBorder="1"/>
    <xf numFmtId="1" fontId="0" fillId="0" borderId="0" xfId="0" applyNumberFormat="1"/>
    <xf numFmtId="1" fontId="0" fillId="0" borderId="6" xfId="0" applyNumberFormat="1" applyBorder="1"/>
    <xf numFmtId="0" fontId="0" fillId="4" borderId="7" xfId="0" applyFill="1" applyBorder="1"/>
    <xf numFmtId="0" fontId="0" fillId="4" borderId="8" xfId="0" applyFill="1" applyBorder="1"/>
    <xf numFmtId="9" fontId="0" fillId="4" borderId="2" xfId="1" applyFont="1" applyFill="1" applyBorder="1"/>
    <xf numFmtId="9" fontId="0" fillId="4" borderId="8" xfId="1" applyFont="1" applyFill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8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168" fontId="0" fillId="0" borderId="2" xfId="0" applyNumberFormat="1" applyBorder="1"/>
    <xf numFmtId="168" fontId="0" fillId="0" borderId="8" xfId="0" applyNumberFormat="1" applyBorder="1"/>
    <xf numFmtId="167" fontId="0" fillId="0" borderId="0" xfId="1" applyNumberFormat="1" applyFont="1" applyBorder="1"/>
    <xf numFmtId="167" fontId="0" fillId="0" borderId="0" xfId="0" applyNumberFormat="1"/>
    <xf numFmtId="8" fontId="0" fillId="0" borderId="0" xfId="0" applyNumberFormat="1"/>
    <xf numFmtId="43" fontId="0" fillId="0" borderId="0" xfId="2" applyFont="1" applyAlignment="1">
      <alignment wrapText="1"/>
    </xf>
    <xf numFmtId="43" fontId="0" fillId="0" borderId="0" xfId="2" applyFont="1"/>
    <xf numFmtId="170" fontId="0" fillId="0" borderId="0" xfId="2" applyNumberFormat="1" applyFont="1"/>
    <xf numFmtId="43" fontId="0" fillId="2" borderId="0" xfId="2" applyFont="1" applyFill="1" applyAlignment="1">
      <alignment wrapText="1"/>
    </xf>
    <xf numFmtId="10" fontId="0" fillId="3" borderId="2" xfId="1" applyNumberFormat="1" applyFont="1" applyFill="1" applyBorder="1"/>
    <xf numFmtId="10" fontId="0" fillId="3" borderId="8" xfId="1" applyNumberFormat="1" applyFont="1" applyFill="1" applyBorder="1"/>
    <xf numFmtId="170" fontId="0" fillId="2" borderId="0" xfId="2" applyNumberFormat="1" applyFont="1" applyFill="1"/>
    <xf numFmtId="43" fontId="0" fillId="0" borderId="0" xfId="0" applyNumberFormat="1"/>
    <xf numFmtId="171" fontId="0" fillId="0" borderId="0" xfId="0" applyNumberFormat="1"/>
    <xf numFmtId="2" fontId="0" fillId="0" borderId="0" xfId="0" applyNumberFormat="1"/>
    <xf numFmtId="172" fontId="0" fillId="0" borderId="0" xfId="1" applyNumberFormat="1" applyFont="1" applyBorder="1"/>
    <xf numFmtId="172" fontId="0" fillId="0" borderId="0" xfId="0" applyNumberFormat="1"/>
    <xf numFmtId="173" fontId="0" fillId="0" borderId="2" xfId="0" applyNumberFormat="1" applyBorder="1"/>
    <xf numFmtId="0" fontId="0" fillId="2" borderId="0" xfId="0" applyFill="1"/>
    <xf numFmtId="43" fontId="0" fillId="2" borderId="0" xfId="2" applyFont="1" applyFill="1"/>
    <xf numFmtId="165" fontId="0" fillId="0" borderId="6" xfId="1" applyNumberFormat="1" applyFont="1" applyBorder="1"/>
    <xf numFmtId="0" fontId="0" fillId="0" borderId="6" xfId="0" applyBorder="1" applyAlignment="1">
      <alignment wrapText="1"/>
    </xf>
    <xf numFmtId="43" fontId="0" fillId="0" borderId="6" xfId="2" applyFont="1" applyBorder="1"/>
    <xf numFmtId="43" fontId="0" fillId="2" borderId="6" xfId="2" applyFont="1" applyFill="1" applyBorder="1"/>
    <xf numFmtId="170" fontId="0" fillId="0" borderId="6" xfId="2" applyNumberFormat="1" applyFont="1" applyBorder="1"/>
    <xf numFmtId="170" fontId="0" fillId="2" borderId="6" xfId="2" applyNumberFormat="1" applyFont="1" applyFill="1" applyBorder="1"/>
    <xf numFmtId="167" fontId="0" fillId="0" borderId="6" xfId="0" applyNumberFormat="1" applyBorder="1"/>
    <xf numFmtId="0" fontId="2" fillId="0" borderId="6" xfId="0" applyFont="1" applyBorder="1"/>
    <xf numFmtId="0" fontId="3" fillId="0" borderId="6" xfId="0" applyFont="1" applyBorder="1"/>
    <xf numFmtId="165" fontId="2" fillId="0" borderId="6" xfId="1" applyNumberFormat="1" applyFont="1" applyBorder="1"/>
    <xf numFmtId="0" fontId="8" fillId="0" borderId="0" xfId="0" applyFont="1"/>
    <xf numFmtId="0" fontId="8" fillId="0" borderId="6" xfId="0" applyFont="1" applyBorder="1"/>
    <xf numFmtId="43" fontId="8" fillId="0" borderId="0" xfId="2" applyFont="1"/>
    <xf numFmtId="43" fontId="8" fillId="0" borderId="0" xfId="0" applyNumberFormat="1" applyFont="1"/>
    <xf numFmtId="2" fontId="8" fillId="0" borderId="0" xfId="0" applyNumberFormat="1" applyFont="1"/>
    <xf numFmtId="165" fontId="8" fillId="0" borderId="0" xfId="0" applyNumberFormat="1" applyFont="1"/>
    <xf numFmtId="165" fontId="8" fillId="0" borderId="6" xfId="0" applyNumberFormat="1" applyFont="1" applyBorder="1"/>
    <xf numFmtId="43" fontId="8" fillId="0" borderId="6" xfId="2" applyFont="1" applyBorder="1"/>
    <xf numFmtId="0" fontId="2" fillId="2" borderId="1" xfId="0" applyFont="1" applyFill="1" applyBorder="1" applyAlignment="1">
      <alignment horizontal="center"/>
    </xf>
    <xf numFmtId="2" fontId="8" fillId="0" borderId="6" xfId="0" applyNumberFormat="1" applyFont="1" applyBorder="1"/>
    <xf numFmtId="0" fontId="10" fillId="0" borderId="0" xfId="0" applyFont="1"/>
    <xf numFmtId="0" fontId="10" fillId="0" borderId="6" xfId="0" applyFont="1" applyBorder="1"/>
    <xf numFmtId="43" fontId="10" fillId="0" borderId="0" xfId="0" applyNumberFormat="1" applyFont="1"/>
    <xf numFmtId="165" fontId="10" fillId="0" borderId="0" xfId="1" applyNumberFormat="1" applyFont="1"/>
    <xf numFmtId="165" fontId="10" fillId="0" borderId="6" xfId="1" applyNumberFormat="1" applyFont="1" applyBorder="1"/>
    <xf numFmtId="165" fontId="11" fillId="5" borderId="0" xfId="1" applyNumberFormat="1" applyFont="1" applyFill="1"/>
    <xf numFmtId="165" fontId="11" fillId="0" borderId="0" xfId="1" applyNumberFormat="1" applyFont="1" applyFill="1"/>
    <xf numFmtId="165" fontId="11" fillId="0" borderId="6" xfId="1" applyNumberFormat="1" applyFont="1" applyFill="1" applyBorder="1"/>
    <xf numFmtId="165" fontId="10" fillId="0" borderId="0" xfId="0" applyNumberFormat="1" applyFont="1"/>
    <xf numFmtId="165" fontId="10" fillId="0" borderId="6" xfId="0" applyNumberFormat="1" applyFont="1" applyBorder="1"/>
    <xf numFmtId="171" fontId="0" fillId="2" borderId="0" xfId="0" applyNumberFormat="1" applyFill="1"/>
    <xf numFmtId="0" fontId="3" fillId="0" borderId="0" xfId="0" applyFont="1" applyAlignment="1">
      <alignment horizontal="center"/>
    </xf>
    <xf numFmtId="2" fontId="8" fillId="2" borderId="0" xfId="0" applyNumberFormat="1" applyFont="1" applyFill="1"/>
    <xf numFmtId="43" fontId="8" fillId="2" borderId="0" xfId="2" applyFont="1" applyFill="1"/>
    <xf numFmtId="168" fontId="0" fillId="0" borderId="6" xfId="0" applyNumberFormat="1" applyBorder="1"/>
    <xf numFmtId="168" fontId="0" fillId="0" borderId="0" xfId="0" applyNumberFormat="1"/>
    <xf numFmtId="169" fontId="0" fillId="0" borderId="6" xfId="0" applyNumberFormat="1" applyBorder="1"/>
    <xf numFmtId="170" fontId="10" fillId="0" borderId="6" xfId="0" applyNumberFormat="1" applyFont="1" applyBorder="1"/>
    <xf numFmtId="0" fontId="0" fillId="6" borderId="0" xfId="0" applyFill="1"/>
    <xf numFmtId="0" fontId="0" fillId="6" borderId="0" xfId="0" applyFill="1" applyAlignment="1">
      <alignment wrapText="1"/>
    </xf>
    <xf numFmtId="44" fontId="0" fillId="6" borderId="0" xfId="3" applyFont="1" applyFill="1"/>
    <xf numFmtId="165" fontId="0" fillId="6" borderId="0" xfId="1" applyNumberFormat="1" applyFont="1" applyFill="1"/>
    <xf numFmtId="10" fontId="0" fillId="6" borderId="0" xfId="0" applyNumberFormat="1" applyFill="1"/>
    <xf numFmtId="0" fontId="0" fillId="7" borderId="0" xfId="0" applyFill="1"/>
    <xf numFmtId="0" fontId="0" fillId="7" borderId="0" xfId="0" applyFill="1" applyAlignment="1">
      <alignment wrapText="1"/>
    </xf>
    <xf numFmtId="44" fontId="0" fillId="7" borderId="0" xfId="3" applyFont="1" applyFill="1"/>
    <xf numFmtId="165" fontId="0" fillId="7" borderId="0" xfId="1" applyNumberFormat="1" applyFont="1" applyFill="1"/>
    <xf numFmtId="10" fontId="0" fillId="7" borderId="0" xfId="0" applyNumberFormat="1" applyFill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7" xfId="0" applyBorder="1" applyAlignment="1">
      <alignment horizontal="left" vertical="center" wrapText="1"/>
    </xf>
    <xf numFmtId="174" fontId="1" fillId="0" borderId="0" xfId="3" applyNumberFormat="1" applyFont="1" applyBorder="1" applyAlignment="1">
      <alignment horizontal="center" vertical="center" wrapText="1"/>
    </xf>
    <xf numFmtId="174" fontId="1" fillId="0" borderId="6" xfId="3" applyNumberFormat="1" applyFont="1" applyBorder="1" applyAlignment="1">
      <alignment horizontal="center" vertical="center" wrapText="1"/>
    </xf>
    <xf numFmtId="174" fontId="1" fillId="0" borderId="4" xfId="3" applyNumberFormat="1" applyFont="1" applyBorder="1" applyAlignment="1">
      <alignment horizontal="center" vertical="center" wrapText="1"/>
    </xf>
    <xf numFmtId="165" fontId="10" fillId="0" borderId="0" xfId="1" applyNumberFormat="1" applyFont="1" applyFill="1"/>
    <xf numFmtId="9" fontId="0" fillId="7" borderId="0" xfId="0" applyNumberFormat="1" applyFill="1"/>
    <xf numFmtId="166" fontId="0" fillId="0" borderId="0" xfId="3" applyNumberFormat="1" applyFont="1"/>
    <xf numFmtId="0" fontId="3" fillId="0" borderId="0" xfId="0" applyFont="1" applyAlignment="1">
      <alignment wrapText="1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3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All countries/groups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095855248738991"/>
          <c:y val="0.12032318850989374"/>
          <c:w val="0.71977253172742472"/>
          <c:h val="0.847928520976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Summary!$B$2</c:f>
              <c:strCache>
                <c:ptCount val="1"/>
                <c:pt idx="0">
                  <c:v>BAU</c:v>
                </c:pt>
              </c:strCache>
            </c:strRef>
          </c:tx>
          <c:invertIfNegative val="0"/>
          <c:cat>
            <c:strRef>
              <c:f>Summary!$A$3:$A$9</c:f>
              <c:strCache>
                <c:ptCount val="7"/>
                <c:pt idx="0">
                  <c:v>Australia</c:v>
                </c:pt>
                <c:pt idx="1">
                  <c:v>New Zealand</c:v>
                </c:pt>
                <c:pt idx="2">
                  <c:v>China</c:v>
                </c:pt>
                <c:pt idx="3">
                  <c:v>North America</c:v>
                </c:pt>
                <c:pt idx="4">
                  <c:v>Rest of OECD</c:v>
                </c:pt>
                <c:pt idx="5">
                  <c:v>ROW</c:v>
                </c:pt>
                <c:pt idx="6">
                  <c:v>World total</c:v>
                </c:pt>
              </c:strCache>
            </c:strRef>
          </c:cat>
          <c:val>
            <c:numRef>
              <c:f>Summary!$B$3:$B$9</c:f>
              <c:numCache>
                <c:formatCode>_(* #,##0.00_);_(* \(#,##0.00\);_(* "-"??_);_(@_)</c:formatCode>
                <c:ptCount val="7"/>
                <c:pt idx="0">
                  <c:v>838.86163120969377</c:v>
                </c:pt>
                <c:pt idx="1">
                  <c:v>88.538983475245615</c:v>
                </c:pt>
                <c:pt idx="2">
                  <c:v>22738.545241499298</c:v>
                </c:pt>
                <c:pt idx="3">
                  <c:v>8294.5685928578987</c:v>
                </c:pt>
                <c:pt idx="4">
                  <c:v>8142.3816382154291</c:v>
                </c:pt>
                <c:pt idx="5">
                  <c:v>26589.909286571739</c:v>
                </c:pt>
                <c:pt idx="6">
                  <c:v>66692.805373829295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1-4D03-A644-F9296194C690}"/>
            </c:ext>
          </c:extLst>
        </c:ser>
        <c:ser>
          <c:idx val="1"/>
          <c:order val="1"/>
          <c:tx>
            <c:strRef>
              <c:f>Summary!$C$2</c:f>
              <c:strCache>
                <c:ptCount val="1"/>
                <c:pt idx="0">
                  <c:v>0.5% GDP</c:v>
                </c:pt>
              </c:strCache>
            </c:strRef>
          </c:tx>
          <c:invertIfNegative val="0"/>
          <c:cat>
            <c:strRef>
              <c:f>Summary!$A$3:$A$9</c:f>
              <c:strCache>
                <c:ptCount val="7"/>
                <c:pt idx="0">
                  <c:v>Australia</c:v>
                </c:pt>
                <c:pt idx="1">
                  <c:v>New Zealand</c:v>
                </c:pt>
                <c:pt idx="2">
                  <c:v>China</c:v>
                </c:pt>
                <c:pt idx="3">
                  <c:v>North America</c:v>
                </c:pt>
                <c:pt idx="4">
                  <c:v>Rest of OECD</c:v>
                </c:pt>
                <c:pt idx="5">
                  <c:v>ROW</c:v>
                </c:pt>
                <c:pt idx="6">
                  <c:v>World total</c:v>
                </c:pt>
              </c:strCache>
            </c:strRef>
          </c:cat>
          <c:val>
            <c:numRef>
              <c:f>Summary!$C$3:$C$9</c:f>
              <c:numCache>
                <c:formatCode>_(* #,##0.00_);_(* \(#,##0.00\);_(* "-"??_);_(@_)</c:formatCode>
                <c:ptCount val="7"/>
                <c:pt idx="0">
                  <c:v>967.4538421029448</c:v>
                </c:pt>
                <c:pt idx="1">
                  <c:v>76.263283107907469</c:v>
                </c:pt>
                <c:pt idx="2">
                  <c:v>17488.604661660389</c:v>
                </c:pt>
                <c:pt idx="3">
                  <c:v>1620.8878257286524</c:v>
                </c:pt>
                <c:pt idx="4">
                  <c:v>-2980.8160354765059</c:v>
                </c:pt>
                <c:pt idx="5">
                  <c:v>24675.79196184656</c:v>
                </c:pt>
                <c:pt idx="6">
                  <c:v>42018.543974741246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1-4D03-A644-F9296194C690}"/>
            </c:ext>
          </c:extLst>
        </c:ser>
        <c:ser>
          <c:idx val="2"/>
          <c:order val="2"/>
          <c:tx>
            <c:strRef>
              <c:f>Summary!$D$2</c:f>
              <c:strCache>
                <c:ptCount val="1"/>
                <c:pt idx="0">
                  <c:v>1.0% GDP</c:v>
                </c:pt>
              </c:strCache>
            </c:strRef>
          </c:tx>
          <c:invertIfNegative val="0"/>
          <c:cat>
            <c:strRef>
              <c:f>Summary!$A$3:$A$9</c:f>
              <c:strCache>
                <c:ptCount val="7"/>
                <c:pt idx="0">
                  <c:v>Australia</c:v>
                </c:pt>
                <c:pt idx="1">
                  <c:v>New Zealand</c:v>
                </c:pt>
                <c:pt idx="2">
                  <c:v>China</c:v>
                </c:pt>
                <c:pt idx="3">
                  <c:v>North America</c:v>
                </c:pt>
                <c:pt idx="4">
                  <c:v>Rest of OECD</c:v>
                </c:pt>
                <c:pt idx="5">
                  <c:v>ROW</c:v>
                </c:pt>
                <c:pt idx="6">
                  <c:v>World total</c:v>
                </c:pt>
              </c:strCache>
            </c:strRef>
          </c:cat>
          <c:val>
            <c:numRef>
              <c:f>Summary!$D$3:$D$9</c:f>
              <c:numCache>
                <c:formatCode>_(* #,##0.00_);_(* \(#,##0.00\);_(* "-"??_);_(@_)</c:formatCode>
                <c:ptCount val="7"/>
                <c:pt idx="0">
                  <c:v>803.83964589644484</c:v>
                </c:pt>
                <c:pt idx="1">
                  <c:v>62.773606635651291</c:v>
                </c:pt>
                <c:pt idx="2">
                  <c:v>16256.691316541281</c:v>
                </c:pt>
                <c:pt idx="3">
                  <c:v>231.36468999125464</c:v>
                </c:pt>
                <c:pt idx="4">
                  <c:v>-2715.4532802277972</c:v>
                </c:pt>
                <c:pt idx="5">
                  <c:v>24315.975764313011</c:v>
                </c:pt>
                <c:pt idx="6">
                  <c:v>38552.261239023588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1-4D03-A644-F9296194C690}"/>
            </c:ext>
          </c:extLst>
        </c:ser>
        <c:ser>
          <c:idx val="3"/>
          <c:order val="3"/>
          <c:tx>
            <c:strRef>
              <c:f>Summary!$E$2</c:f>
              <c:strCache>
                <c:ptCount val="1"/>
                <c:pt idx="0">
                  <c:v>1.5% GDP</c:v>
                </c:pt>
              </c:strCache>
            </c:strRef>
          </c:tx>
          <c:invertIfNegative val="0"/>
          <c:cat>
            <c:strRef>
              <c:f>Summary!$A$3:$A$9</c:f>
              <c:strCache>
                <c:ptCount val="7"/>
                <c:pt idx="0">
                  <c:v>Australia</c:v>
                </c:pt>
                <c:pt idx="1">
                  <c:v>New Zealand</c:v>
                </c:pt>
                <c:pt idx="2">
                  <c:v>China</c:v>
                </c:pt>
                <c:pt idx="3">
                  <c:v>North America</c:v>
                </c:pt>
                <c:pt idx="4">
                  <c:v>Rest of OECD</c:v>
                </c:pt>
                <c:pt idx="5">
                  <c:v>ROW</c:v>
                </c:pt>
                <c:pt idx="6">
                  <c:v>World total</c:v>
                </c:pt>
              </c:strCache>
            </c:strRef>
          </c:cat>
          <c:val>
            <c:numRef>
              <c:f>Summary!$E$3:$E$9</c:f>
              <c:numCache>
                <c:formatCode>0.00</c:formatCode>
                <c:ptCount val="7"/>
                <c:pt idx="0">
                  <c:v>739.54942732976679</c:v>
                </c:pt>
                <c:pt idx="1">
                  <c:v>54.849121755350822</c:v>
                </c:pt>
                <c:pt idx="2" formatCode="_(* #,##0.00_);_(* \(#,##0.00\);_(* &quot;-&quot;??_);_(@_)">
                  <c:v>15396.109674625777</c:v>
                </c:pt>
                <c:pt idx="3">
                  <c:v>-517.15461812451031</c:v>
                </c:pt>
                <c:pt idx="4" formatCode="_(* #,##0.00_);_(* \(#,##0.00\);_(* &quot;-&quot;??_);_(@_)">
                  <c:v>-2683.5225884689589</c:v>
                </c:pt>
                <c:pt idx="5" formatCode="_(* #,##0.00_);_(* \(#,##0.00\);_(* &quot;-&quot;??_);_(@_)">
                  <c:v>23757.981985963928</c:v>
                </c:pt>
                <c:pt idx="6" formatCode="_(* #,##0.00_);_(* \(#,##0.00\);_(* &quot;-&quot;??_);_(@_)">
                  <c:v>36037.723537304104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11-4D03-A644-F9296194C690}"/>
            </c:ext>
          </c:extLst>
        </c:ser>
        <c:ser>
          <c:idx val="4"/>
          <c:order val="4"/>
          <c:tx>
            <c:strRef>
              <c:f>Summary!$F$2</c:f>
              <c:strCache>
                <c:ptCount val="1"/>
                <c:pt idx="0">
                  <c:v>2.0% GDP</c:v>
                </c:pt>
              </c:strCache>
            </c:strRef>
          </c:tx>
          <c:invertIfNegative val="0"/>
          <c:cat>
            <c:strRef>
              <c:f>Summary!$A$3:$A$9</c:f>
              <c:strCache>
                <c:ptCount val="7"/>
                <c:pt idx="0">
                  <c:v>Australia</c:v>
                </c:pt>
                <c:pt idx="1">
                  <c:v>New Zealand</c:v>
                </c:pt>
                <c:pt idx="2">
                  <c:v>China</c:v>
                </c:pt>
                <c:pt idx="3">
                  <c:v>North America</c:v>
                </c:pt>
                <c:pt idx="4">
                  <c:v>Rest of OECD</c:v>
                </c:pt>
                <c:pt idx="5">
                  <c:v>ROW</c:v>
                </c:pt>
                <c:pt idx="6">
                  <c:v>World total</c:v>
                </c:pt>
              </c:strCache>
            </c:strRef>
          </c:cat>
          <c:val>
            <c:numRef>
              <c:f>Summary!$F$3:$F$9</c:f>
              <c:numCache>
                <c:formatCode>0.00</c:formatCode>
                <c:ptCount val="7"/>
                <c:pt idx="0">
                  <c:v>701.60650451950414</c:v>
                </c:pt>
                <c:pt idx="1">
                  <c:v>49.179609824743487</c:v>
                </c:pt>
                <c:pt idx="2" formatCode="_(* #,##0.00_);_(* \(#,##0.00\);_(* &quot;-&quot;??_);_(@_)">
                  <c:v>14698.818395978189</c:v>
                </c:pt>
                <c:pt idx="3" formatCode="_(* #,##0.00_);_(* \(#,##0.00\);_(* &quot;-&quot;??_);_(@_)">
                  <c:v>-1018.8119107427356</c:v>
                </c:pt>
                <c:pt idx="4" formatCode="_(* #,##0.00_);_(* \(#,##0.00\);_(* &quot;-&quot;??_);_(@_)">
                  <c:v>-2970.3168386206344</c:v>
                </c:pt>
                <c:pt idx="5" formatCode="_(* #,##0.00_);_(* \(#,##0.00\);_(* &quot;-&quot;??_);_(@_)">
                  <c:v>23220.192476689292</c:v>
                </c:pt>
                <c:pt idx="6" formatCode="_(* #,##0.00_);_(* \(#,##0.00\);_(* &quot;-&quot;??_);_(@_)">
                  <c:v>33922.652880505906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11-4D03-A644-F9296194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59072"/>
        <c:axId val="95860608"/>
      </c:barChart>
      <c:catAx>
        <c:axId val="9585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860608"/>
        <c:crosses val="autoZero"/>
        <c:auto val="1"/>
        <c:lblAlgn val="ctr"/>
        <c:lblOffset val="100"/>
        <c:noMultiLvlLbl val="0"/>
      </c:catAx>
      <c:valAx>
        <c:axId val="95860608"/>
        <c:scaling>
          <c:orientation val="minMax"/>
          <c:max val="7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Mt emissions in 2032</a:t>
                </a:r>
              </a:p>
            </c:rich>
          </c:tx>
          <c:layout>
            <c:manualLayout>
              <c:xMode val="edge"/>
              <c:yMode val="edge"/>
              <c:x val="3.0802104644593185E-2"/>
              <c:y val="0.41006703747843792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95859072"/>
        <c:crosses val="autoZero"/>
        <c:crossBetween val="between"/>
        <c:dispUnits>
          <c:builtInUnit val="thousands"/>
          <c:dispUnitsLbl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Developed countries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Summary!$B$14</c:f>
              <c:strCache>
                <c:ptCount val="1"/>
                <c:pt idx="0">
                  <c:v>BAU</c:v>
                </c:pt>
              </c:strCache>
            </c:strRef>
          </c:tx>
          <c:invertIfNegative val="0"/>
          <c:cat>
            <c:strRef>
              <c:f>Summary!$A$15:$A$18</c:f>
              <c:strCache>
                <c:ptCount val="4"/>
                <c:pt idx="0">
                  <c:v>Australia</c:v>
                </c:pt>
                <c:pt idx="1">
                  <c:v>New Zealand</c:v>
                </c:pt>
                <c:pt idx="2">
                  <c:v>North America</c:v>
                </c:pt>
                <c:pt idx="3">
                  <c:v>Rest of OECD</c:v>
                </c:pt>
              </c:strCache>
            </c:strRef>
          </c:cat>
          <c:val>
            <c:numRef>
              <c:f>Summary!$B$15:$B$18</c:f>
              <c:numCache>
                <c:formatCode>_(* #,##0.00_);_(* \(#,##0.00\);_(* "-"??_);_(@_)</c:formatCode>
                <c:ptCount val="4"/>
                <c:pt idx="0">
                  <c:v>838.86163120969377</c:v>
                </c:pt>
                <c:pt idx="1">
                  <c:v>88.538983475245615</c:v>
                </c:pt>
                <c:pt idx="2">
                  <c:v>8294.5685928578987</c:v>
                </c:pt>
                <c:pt idx="3">
                  <c:v>8142.3816382154291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4-405A-8275-D73992455733}"/>
            </c:ext>
          </c:extLst>
        </c:ser>
        <c:ser>
          <c:idx val="1"/>
          <c:order val="1"/>
          <c:tx>
            <c:strRef>
              <c:f>Summary!$C$14</c:f>
              <c:strCache>
                <c:ptCount val="1"/>
                <c:pt idx="0">
                  <c:v>0.5% GDP</c:v>
                </c:pt>
              </c:strCache>
            </c:strRef>
          </c:tx>
          <c:invertIfNegative val="0"/>
          <c:cat>
            <c:strRef>
              <c:f>Summary!$A$15:$A$18</c:f>
              <c:strCache>
                <c:ptCount val="4"/>
                <c:pt idx="0">
                  <c:v>Australia</c:v>
                </c:pt>
                <c:pt idx="1">
                  <c:v>New Zealand</c:v>
                </c:pt>
                <c:pt idx="2">
                  <c:v>North America</c:v>
                </c:pt>
                <c:pt idx="3">
                  <c:v>Rest of OECD</c:v>
                </c:pt>
              </c:strCache>
            </c:strRef>
          </c:cat>
          <c:val>
            <c:numRef>
              <c:f>Summary!$C$15:$C$18</c:f>
              <c:numCache>
                <c:formatCode>_(* #,##0.00_);_(* \(#,##0.00\);_(* "-"??_);_(@_)</c:formatCode>
                <c:ptCount val="4"/>
                <c:pt idx="0">
                  <c:v>967.4538421029448</c:v>
                </c:pt>
                <c:pt idx="1">
                  <c:v>76.263283107907469</c:v>
                </c:pt>
                <c:pt idx="2">
                  <c:v>1620.8878257286524</c:v>
                </c:pt>
                <c:pt idx="3">
                  <c:v>-2980.8160354765059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4-405A-8275-D73992455733}"/>
            </c:ext>
          </c:extLst>
        </c:ser>
        <c:ser>
          <c:idx val="2"/>
          <c:order val="2"/>
          <c:tx>
            <c:strRef>
              <c:f>Summary!$D$14</c:f>
              <c:strCache>
                <c:ptCount val="1"/>
                <c:pt idx="0">
                  <c:v>1.0% GDP</c:v>
                </c:pt>
              </c:strCache>
            </c:strRef>
          </c:tx>
          <c:invertIfNegative val="0"/>
          <c:cat>
            <c:strRef>
              <c:f>Summary!$A$15:$A$18</c:f>
              <c:strCache>
                <c:ptCount val="4"/>
                <c:pt idx="0">
                  <c:v>Australia</c:v>
                </c:pt>
                <c:pt idx="1">
                  <c:v>New Zealand</c:v>
                </c:pt>
                <c:pt idx="2">
                  <c:v>North America</c:v>
                </c:pt>
                <c:pt idx="3">
                  <c:v>Rest of OECD</c:v>
                </c:pt>
              </c:strCache>
            </c:strRef>
          </c:cat>
          <c:val>
            <c:numRef>
              <c:f>Summary!$D$15:$D$18</c:f>
              <c:numCache>
                <c:formatCode>_(* #,##0.00_);_(* \(#,##0.00\);_(* "-"??_);_(@_)</c:formatCode>
                <c:ptCount val="4"/>
                <c:pt idx="0">
                  <c:v>803.83964589644484</c:v>
                </c:pt>
                <c:pt idx="1">
                  <c:v>62.773606635651291</c:v>
                </c:pt>
                <c:pt idx="2">
                  <c:v>231.36468999125464</c:v>
                </c:pt>
                <c:pt idx="3">
                  <c:v>-2715.4532802277972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B4-405A-8275-D73992455733}"/>
            </c:ext>
          </c:extLst>
        </c:ser>
        <c:ser>
          <c:idx val="3"/>
          <c:order val="3"/>
          <c:tx>
            <c:strRef>
              <c:f>Summary!$E$14</c:f>
              <c:strCache>
                <c:ptCount val="1"/>
                <c:pt idx="0">
                  <c:v>1.5% GDP</c:v>
                </c:pt>
              </c:strCache>
            </c:strRef>
          </c:tx>
          <c:invertIfNegative val="0"/>
          <c:cat>
            <c:strRef>
              <c:f>Summary!$A$15:$A$18</c:f>
              <c:strCache>
                <c:ptCount val="4"/>
                <c:pt idx="0">
                  <c:v>Australia</c:v>
                </c:pt>
                <c:pt idx="1">
                  <c:v>New Zealand</c:v>
                </c:pt>
                <c:pt idx="2">
                  <c:v>North America</c:v>
                </c:pt>
                <c:pt idx="3">
                  <c:v>Rest of OECD</c:v>
                </c:pt>
              </c:strCache>
            </c:strRef>
          </c:cat>
          <c:val>
            <c:numRef>
              <c:f>Summary!$E$15:$E$18</c:f>
              <c:numCache>
                <c:formatCode>_(* #,##0.00_);_(* \(#,##0.00\);_(* "-"??_);_(@_)</c:formatCode>
                <c:ptCount val="4"/>
                <c:pt idx="0">
                  <c:v>739.54942732976679</c:v>
                </c:pt>
                <c:pt idx="1">
                  <c:v>54.849121755350822</c:v>
                </c:pt>
                <c:pt idx="2">
                  <c:v>-517.15461812451031</c:v>
                </c:pt>
                <c:pt idx="3">
                  <c:v>-2683.5225884689589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4-405A-8275-D73992455733}"/>
            </c:ext>
          </c:extLst>
        </c:ser>
        <c:ser>
          <c:idx val="4"/>
          <c:order val="4"/>
          <c:tx>
            <c:strRef>
              <c:f>Summary!$F$14</c:f>
              <c:strCache>
                <c:ptCount val="1"/>
                <c:pt idx="0">
                  <c:v>2.0% GDP</c:v>
                </c:pt>
              </c:strCache>
            </c:strRef>
          </c:tx>
          <c:invertIfNegative val="0"/>
          <c:cat>
            <c:strRef>
              <c:f>Summary!$A$15:$A$18</c:f>
              <c:strCache>
                <c:ptCount val="4"/>
                <c:pt idx="0">
                  <c:v>Australia</c:v>
                </c:pt>
                <c:pt idx="1">
                  <c:v>New Zealand</c:v>
                </c:pt>
                <c:pt idx="2">
                  <c:v>North America</c:v>
                </c:pt>
                <c:pt idx="3">
                  <c:v>Rest of OECD</c:v>
                </c:pt>
              </c:strCache>
            </c:strRef>
          </c:cat>
          <c:val>
            <c:numRef>
              <c:f>Summary!$F$15:$F$18</c:f>
              <c:numCache>
                <c:formatCode>_(* #,##0.00_);_(* \(#,##0.00\);_(* "-"??_);_(@_)</c:formatCode>
                <c:ptCount val="4"/>
                <c:pt idx="0">
                  <c:v>701.60650451950414</c:v>
                </c:pt>
                <c:pt idx="1">
                  <c:v>49.179609824743487</c:v>
                </c:pt>
                <c:pt idx="2">
                  <c:v>-1018.8119107427356</c:v>
                </c:pt>
                <c:pt idx="3">
                  <c:v>-2970.3168386206344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B4-405A-8275-D7399245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00672"/>
        <c:axId val="100302208"/>
      </c:barChart>
      <c:catAx>
        <c:axId val="100300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302208"/>
        <c:crosses val="autoZero"/>
        <c:auto val="1"/>
        <c:lblAlgn val="ctr"/>
        <c:lblOffset val="100"/>
        <c:noMultiLvlLbl val="0"/>
      </c:catAx>
      <c:valAx>
        <c:axId val="100302208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crossAx val="100300672"/>
        <c:crosses val="autoZero"/>
        <c:crossBetween val="between"/>
        <c:dispUnits>
          <c:builtInUnit val="thousands"/>
          <c:dispUnitsLbl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New Zealand net emissions in 2032</a:t>
            </a:r>
          </a:p>
        </c:rich>
      </c:tx>
      <c:layout>
        <c:manualLayout>
          <c:xMode val="edge"/>
          <c:yMode val="edge"/>
          <c:x val="0.22641590103582024"/>
          <c:y val="2.48320600311456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Summary!$A$16</c:f>
              <c:strCache>
                <c:ptCount val="1"/>
                <c:pt idx="0">
                  <c:v>New Zealand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E843-4293-9C33-A864370E308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E843-4293-9C33-A864370E308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5-E843-4293-9C33-A864370E308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E843-4293-9C33-A864370E308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Summary!$B$14:$F$14</c:f>
              <c:strCache>
                <c:ptCount val="5"/>
                <c:pt idx="0">
                  <c:v>BAU</c:v>
                </c:pt>
                <c:pt idx="1">
                  <c:v>0.5% GDP</c:v>
                </c:pt>
                <c:pt idx="2">
                  <c:v>1.0% GDP</c:v>
                </c:pt>
                <c:pt idx="3">
                  <c:v>1.5% GDP</c:v>
                </c:pt>
                <c:pt idx="4">
                  <c:v>2.0% GDP</c:v>
                </c:pt>
              </c:strCache>
            </c:strRef>
          </c:cat>
          <c:val>
            <c:numRef>
              <c:f>Summary!$B$16:$F$16</c:f>
              <c:numCache>
                <c:formatCode>_(* #,##0.00_);_(* \(#,##0.00\);_(* "-"??_);_(@_)</c:formatCode>
                <c:ptCount val="5"/>
                <c:pt idx="0">
                  <c:v>88.538983475245615</c:v>
                </c:pt>
                <c:pt idx="1">
                  <c:v>76.263283107907469</c:v>
                </c:pt>
                <c:pt idx="2">
                  <c:v>62.773606635651291</c:v>
                </c:pt>
                <c:pt idx="3">
                  <c:v>54.849121755350822</c:v>
                </c:pt>
                <c:pt idx="4">
                  <c:v>49.179609824743487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43-4293-9C33-A864370E3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33440"/>
        <c:axId val="100334976"/>
      </c:barChart>
      <c:catAx>
        <c:axId val="100333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334976"/>
        <c:crossesAt val="60.64"/>
        <c:auto val="1"/>
        <c:lblAlgn val="ctr"/>
        <c:lblOffset val="100"/>
        <c:noMultiLvlLbl val="0"/>
      </c:catAx>
      <c:valAx>
        <c:axId val="100334976"/>
        <c:scaling>
          <c:orientation val="minMax"/>
          <c:max val="90"/>
          <c:min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Emissions in Mt (compared to 1990)</a:t>
                </a:r>
              </a:p>
            </c:rich>
          </c:tx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100333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New Zealand: 2032 target costs</a:t>
            </a:r>
          </a:p>
        </c:rich>
      </c:tx>
      <c:layout>
        <c:manualLayout>
          <c:xMode val="edge"/>
          <c:yMode val="edge"/>
          <c:x val="0.13431466899970837"/>
          <c:y val="4.0196408514200685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diamond"/>
            <c:size val="7"/>
          </c:marker>
          <c:xVal>
            <c:numRef>
              <c:f>Summary!$B$48:$B$52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1.7506529999999998</c:v>
                </c:pt>
                <c:pt idx="2">
                  <c:v>3.5013059999999996</c:v>
                </c:pt>
                <c:pt idx="3">
                  <c:v>5.2519589999999994</c:v>
                </c:pt>
                <c:pt idx="4">
                  <c:v>7.0026119999999992</c:v>
                </c:pt>
              </c:numCache>
            </c:numRef>
          </c:xVal>
          <c:yVal>
            <c:numRef>
              <c:f>Summary!$C$48:$C$52</c:f>
              <c:numCache>
                <c:formatCode>0.0%</c:formatCode>
                <c:ptCount val="5"/>
                <c:pt idx="0">
                  <c:v>0.46007558501394485</c:v>
                </c:pt>
                <c:pt idx="1">
                  <c:v>0.25763989294042666</c:v>
                </c:pt>
                <c:pt idx="2">
                  <c:v>3.5184805996888002E-2</c:v>
                </c:pt>
                <c:pt idx="3">
                  <c:v>-9.54960132692807E-2</c:v>
                </c:pt>
                <c:pt idx="4">
                  <c:v>-0.18899060315396621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E3-405A-926C-F3F6CDB8A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545664"/>
        <c:axId val="104560128"/>
      </c:scatterChart>
      <c:valAx>
        <c:axId val="10454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 cost  in 2032 (billions NZ$)</a:t>
                </a:r>
              </a:p>
            </c:rich>
          </c:tx>
          <c:overlay val="0"/>
        </c:title>
        <c:numFmt formatCode="_(&quot;$&quot;* #,##0_);_(&quot;$&quot;* \(#,##0\);_(&quot;$&quot;* &quot;-&quot;_);_(@_)" sourceLinked="0"/>
        <c:majorTickMark val="out"/>
        <c:minorTickMark val="none"/>
        <c:tickLblPos val="nextTo"/>
        <c:crossAx val="104560128"/>
        <c:crosses val="autoZero"/>
        <c:crossBetween val="midCat"/>
      </c:valAx>
      <c:valAx>
        <c:axId val="104560128"/>
        <c:scaling>
          <c:orientation val="minMax"/>
          <c:max val="0.5"/>
          <c:min val="-0.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Target as %  change from 1990 emissions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04545664"/>
        <c:crosses val="autoZero"/>
        <c:crossBetween val="midCat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Australia: 2032 target costs</a:t>
            </a:r>
          </a:p>
        </c:rich>
      </c:tx>
      <c:layout>
        <c:manualLayout>
          <c:xMode val="edge"/>
          <c:yMode val="edge"/>
          <c:x val="0.32232969981600729"/>
          <c:y val="6.96919178228025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022821622447196"/>
          <c:y val="0.1083797122985931"/>
          <c:w val="0.81257381819442509"/>
          <c:h val="0.80432539869813302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8"/>
            <c:spPr>
              <a:solidFill>
                <a:schemeClr val="accent5"/>
              </a:solidFill>
            </c:spPr>
          </c:marker>
          <c:dLbls>
            <c:dLbl>
              <c:idx val="2"/>
              <c:layout>
                <c:manualLayout>
                  <c:x val="-0.23358020150088432"/>
                  <c:y val="0.12544545208104457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These are all</a:t>
                    </a:r>
                    <a:r>
                      <a:rPr lang="en-US" sz="700" baseline="0"/>
                      <a:t> an increase from 1990 levels. Even at 2.0% of GDP Australia's emissions are 70% higher than 1990</a:t>
                    </a:r>
                    <a:endParaRPr lang="en-US" sz="1200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A8E-4F60-B8AB-EF664E27C7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Summary!$B$77:$B$81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9.9180450000000011</c:v>
                </c:pt>
                <c:pt idx="2">
                  <c:v>19.836090000000002</c:v>
                </c:pt>
                <c:pt idx="3">
                  <c:v>29.754135000000002</c:v>
                </c:pt>
                <c:pt idx="4">
                  <c:v>39.672180000000004</c:v>
                </c:pt>
              </c:numCache>
            </c:numRef>
          </c:xVal>
          <c:yVal>
            <c:numRef>
              <c:f>Summary!$C$77:$C$81</c:f>
              <c:numCache>
                <c:formatCode>0.0%</c:formatCode>
                <c:ptCount val="5"/>
                <c:pt idx="0">
                  <c:v>1.0214994607072647</c:v>
                </c:pt>
                <c:pt idx="1">
                  <c:v>1.3313826110392193</c:v>
                </c:pt>
                <c:pt idx="2">
                  <c:v>0.93710303370471304</c:v>
                </c:pt>
                <c:pt idx="3">
                  <c:v>0.78217564481713553</c:v>
                </c:pt>
                <c:pt idx="4">
                  <c:v>0.69074030537027764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8E-4F60-B8AB-EF664E27C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12576"/>
        <c:axId val="105926656"/>
      </c:scatterChart>
      <c:valAx>
        <c:axId val="105912576"/>
        <c:scaling>
          <c:orientation val="minMax"/>
          <c:max val="40"/>
          <c:min val="0"/>
        </c:scaling>
        <c:delete val="0"/>
        <c:axPos val="b"/>
        <c:numFmt formatCode="_(&quot;$&quot;* #,##0_);_(&quot;$&quot;* \(#,##0\);_(&quot;$&quot;* &quot;-&quot;_);_(@_)" sourceLinked="0"/>
        <c:majorTickMark val="out"/>
        <c:minorTickMark val="none"/>
        <c:tickLblPos val="nextTo"/>
        <c:crossAx val="105926656"/>
        <c:crosses val="autoZero"/>
        <c:crossBetween val="midCat"/>
      </c:valAx>
      <c:valAx>
        <c:axId val="105926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Emissions as % change from 1990 levels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05912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NZ emissions and GDP</a:t>
            </a:r>
          </a:p>
        </c:rich>
      </c:tx>
      <c:layout>
        <c:manualLayout>
          <c:xMode val="edge"/>
          <c:yMode val="edge"/>
          <c:x val="0.29633389386970038"/>
          <c:y val="2.379021897304305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68085486477818"/>
          <c:y val="4.4021895743267946E-2"/>
          <c:w val="0.8175682709610399"/>
          <c:h val="0.8520741667881675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Summary!$A$48:$A$52</c:f>
              <c:numCache>
                <c:formatCode>0.00%</c:formatCode>
                <c:ptCount val="5"/>
                <c:pt idx="0" formatCode="0%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</c:numCache>
            </c:numRef>
          </c:xVal>
          <c:yVal>
            <c:numRef>
              <c:f>Summary!$C$48:$C$52</c:f>
              <c:numCache>
                <c:formatCode>0.0%</c:formatCode>
                <c:ptCount val="5"/>
                <c:pt idx="0">
                  <c:v>0.46007558501394485</c:v>
                </c:pt>
                <c:pt idx="1">
                  <c:v>0.25763989294042666</c:v>
                </c:pt>
                <c:pt idx="2">
                  <c:v>3.5184805996888002E-2</c:v>
                </c:pt>
                <c:pt idx="3">
                  <c:v>-9.54960132692807E-2</c:v>
                </c:pt>
                <c:pt idx="4">
                  <c:v>-0.18899060315396621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1A-4D41-AA75-EDDECD98B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55328"/>
        <c:axId val="105957248"/>
      </c:scatterChart>
      <c:valAx>
        <c:axId val="105955328"/>
        <c:scaling>
          <c:orientation val="minMax"/>
          <c:max val="2.0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 as % of 2032 GDP</a:t>
                </a:r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crossAx val="105957248"/>
        <c:crosses val="autoZero"/>
        <c:crossBetween val="midCat"/>
      </c:valAx>
      <c:valAx>
        <c:axId val="105957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Emissions target as % change from 1990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05955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Aus emissions and GDP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816907261592302"/>
          <c:y val="0.13936351706036745"/>
          <c:w val="0.77708792650918634"/>
          <c:h val="0.7344480898221055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Summary!$A$77:$A$81</c:f>
              <c:numCache>
                <c:formatCode>0.00%</c:formatCode>
                <c:ptCount val="5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</c:numCache>
            </c:numRef>
          </c:xVal>
          <c:yVal>
            <c:numRef>
              <c:f>Summary!$C$77:$C$81</c:f>
              <c:numCache>
                <c:formatCode>0.0%</c:formatCode>
                <c:ptCount val="5"/>
                <c:pt idx="0">
                  <c:v>1.0214994607072647</c:v>
                </c:pt>
                <c:pt idx="1">
                  <c:v>1.3313826110392193</c:v>
                </c:pt>
                <c:pt idx="2">
                  <c:v>0.93710303370471304</c:v>
                </c:pt>
                <c:pt idx="3">
                  <c:v>0.78217564481713553</c:v>
                </c:pt>
                <c:pt idx="4">
                  <c:v>0.69074030537027764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58-4E50-A915-7BDA0523E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27168"/>
        <c:axId val="105533440"/>
      </c:scatterChart>
      <c:valAx>
        <c:axId val="105527168"/>
        <c:scaling>
          <c:orientation val="minMax"/>
          <c:max val="2.0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 as % of 2032 GDP</a:t>
                </a:r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crossAx val="105533440"/>
        <c:crosses val="autoZero"/>
        <c:crossBetween val="midCat"/>
      </c:valAx>
      <c:valAx>
        <c:axId val="105533440"/>
        <c:scaling>
          <c:orientation val="minMax"/>
          <c:max val="1.4"/>
          <c:min val="0.6000000000000000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Emissions as % change from 1990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05527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493568</xdr:colOff>
      <xdr:row>0</xdr:row>
      <xdr:rowOff>121227</xdr:rowOff>
    </xdr:from>
    <xdr:to>
      <xdr:col>21</xdr:col>
      <xdr:colOff>155864</xdr:colOff>
      <xdr:row>27</xdr:row>
      <xdr:rowOff>120360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103908</xdr:colOff>
      <xdr:row>20</xdr:row>
      <xdr:rowOff>78796</xdr:rowOff>
    </xdr:from>
    <xdr:to>
      <xdr:col>9</xdr:col>
      <xdr:colOff>441612</xdr:colOff>
      <xdr:row>41</xdr:row>
      <xdr:rowOff>147204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34635</xdr:colOff>
      <xdr:row>29</xdr:row>
      <xdr:rowOff>18184</xdr:rowOff>
    </xdr:from>
    <xdr:to>
      <xdr:col>20</xdr:col>
      <xdr:colOff>311726</xdr:colOff>
      <xdr:row>55</xdr:row>
      <xdr:rowOff>51955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597475</xdr:colOff>
      <xdr:row>54</xdr:row>
      <xdr:rowOff>26842</xdr:rowOff>
    </xdr:from>
    <xdr:to>
      <xdr:col>17</xdr:col>
      <xdr:colOff>164521</xdr:colOff>
      <xdr:row>69</xdr:row>
      <xdr:rowOff>86590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216477</xdr:colOff>
      <xdr:row>74</xdr:row>
      <xdr:rowOff>104775</xdr:rowOff>
    </xdr:from>
    <xdr:to>
      <xdr:col>18</xdr:col>
      <xdr:colOff>571500</xdr:colOff>
      <xdr:row>92</xdr:row>
      <xdr:rowOff>112568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77930</xdr:colOff>
      <xdr:row>48</xdr:row>
      <xdr:rowOff>25977</xdr:rowOff>
    </xdr:from>
    <xdr:to>
      <xdr:col>10</xdr:col>
      <xdr:colOff>294408</xdr:colOff>
      <xdr:row>67</xdr:row>
      <xdr:rowOff>103043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701386</xdr:colOff>
      <xdr:row>80</xdr:row>
      <xdr:rowOff>156728</xdr:rowOff>
    </xdr:from>
    <xdr:to>
      <xdr:col>9</xdr:col>
      <xdr:colOff>60614</xdr:colOff>
      <xdr:row>101</xdr:row>
      <xdr:rowOff>69271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M89"/>
  <sheetViews>
    <sheetView zoomScale="120" zoomScaleNormal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7" sqref="F17"/>
    </sheetView>
  </sheetViews>
  <sheetFormatPr defaultRowHeight="12.75" x14ac:dyDescent="0.2"/>
  <cols>
    <col min="1" max="1" width="19.7109375" customWidth="1"/>
    <col min="2" max="2" width="24.140625" style="18" customWidth="1"/>
    <col min="3" max="3" width="12.85546875" bestFit="1" customWidth="1"/>
    <col min="4" max="4" width="11.140625" customWidth="1"/>
    <col min="5" max="5" width="10.7109375" bestFit="1" customWidth="1"/>
    <col min="6" max="7" width="9.42578125" customWidth="1"/>
    <col min="8" max="8" width="10.7109375" bestFit="1" customWidth="1"/>
    <col min="9" max="9" width="10.7109375" style="18" bestFit="1" customWidth="1"/>
    <col min="10" max="10" width="9.140625" customWidth="1"/>
    <col min="11" max="11" width="11.140625" customWidth="1"/>
    <col min="12" max="15" width="10.140625" customWidth="1"/>
    <col min="16" max="16" width="11.42578125" style="18" customWidth="1"/>
    <col min="17" max="17" width="9.140625" customWidth="1"/>
    <col min="18" max="18" width="11.140625" customWidth="1"/>
    <col min="19" max="19" width="10.7109375" customWidth="1"/>
    <col min="20" max="21" width="10.140625" customWidth="1"/>
    <col min="22" max="22" width="11.42578125" customWidth="1"/>
    <col min="23" max="23" width="12.7109375" style="18" customWidth="1"/>
    <col min="24" max="24" width="9.140625" customWidth="1"/>
    <col min="25" max="25" width="11.140625" customWidth="1"/>
    <col min="26" max="26" width="11.28515625" customWidth="1"/>
    <col min="27" max="27" width="10.140625" customWidth="1"/>
    <col min="28" max="28" width="11" customWidth="1"/>
    <col min="29" max="29" width="10.7109375" customWidth="1"/>
    <col min="30" max="30" width="11" style="18" customWidth="1"/>
    <col min="31" max="31" width="9.140625" customWidth="1"/>
    <col min="32" max="32" width="11.140625" customWidth="1"/>
    <col min="33" max="33" width="12" customWidth="1"/>
    <col min="34" max="35" width="10.140625" customWidth="1"/>
    <col min="36" max="36" width="11.5703125" customWidth="1"/>
    <col min="37" max="37" width="11.28515625" style="18" customWidth="1"/>
    <col min="39" max="40" width="0" hidden="1" customWidth="1"/>
  </cols>
  <sheetData>
    <row r="1" spans="1:39" x14ac:dyDescent="0.2">
      <c r="A1" s="8" t="s">
        <v>0</v>
      </c>
    </row>
    <row r="2" spans="1:39" s="44" customFormat="1" x14ac:dyDescent="0.2">
      <c r="A2" s="40"/>
      <c r="B2" s="41"/>
      <c r="C2" s="42" t="s">
        <v>1</v>
      </c>
      <c r="D2" s="42" t="s">
        <v>2</v>
      </c>
      <c r="E2" s="42" t="s">
        <v>3</v>
      </c>
      <c r="F2" s="42" t="s">
        <v>4</v>
      </c>
      <c r="G2" s="42" t="s">
        <v>5</v>
      </c>
      <c r="H2" s="42" t="s">
        <v>6</v>
      </c>
      <c r="I2" s="43" t="s">
        <v>7</v>
      </c>
      <c r="J2" s="42" t="s">
        <v>1</v>
      </c>
      <c r="K2" s="42" t="s">
        <v>2</v>
      </c>
      <c r="L2" s="42" t="s">
        <v>3</v>
      </c>
      <c r="M2" s="42" t="s">
        <v>4</v>
      </c>
      <c r="N2" s="42" t="s">
        <v>5</v>
      </c>
      <c r="O2" s="42" t="s">
        <v>6</v>
      </c>
      <c r="P2" s="43" t="s">
        <v>7</v>
      </c>
      <c r="Q2" s="42" t="s">
        <v>1</v>
      </c>
      <c r="R2" s="42" t="s">
        <v>2</v>
      </c>
      <c r="S2" s="42" t="s">
        <v>3</v>
      </c>
      <c r="T2" s="42" t="s">
        <v>4</v>
      </c>
      <c r="U2" s="42" t="s">
        <v>5</v>
      </c>
      <c r="V2" s="42" t="s">
        <v>6</v>
      </c>
      <c r="W2" s="43" t="s">
        <v>7</v>
      </c>
      <c r="X2" s="42" t="s">
        <v>1</v>
      </c>
      <c r="Y2" s="42" t="s">
        <v>2</v>
      </c>
      <c r="Z2" s="42" t="s">
        <v>3</v>
      </c>
      <c r="AA2" s="42" t="s">
        <v>4</v>
      </c>
      <c r="AB2" s="42" t="s">
        <v>5</v>
      </c>
      <c r="AC2" s="42" t="s">
        <v>6</v>
      </c>
      <c r="AD2" s="43" t="s">
        <v>7</v>
      </c>
      <c r="AE2" s="42" t="s">
        <v>1</v>
      </c>
      <c r="AF2" s="42" t="s">
        <v>2</v>
      </c>
      <c r="AG2" s="42" t="s">
        <v>3</v>
      </c>
      <c r="AH2" s="42" t="s">
        <v>4</v>
      </c>
      <c r="AI2" s="42" t="s">
        <v>5</v>
      </c>
      <c r="AJ2" s="42" t="s">
        <v>6</v>
      </c>
      <c r="AK2" s="43" t="s">
        <v>7</v>
      </c>
    </row>
    <row r="3" spans="1:39" s="27" customFormat="1" x14ac:dyDescent="0.2">
      <c r="A3" s="28" t="s">
        <v>8</v>
      </c>
      <c r="B3" s="29" t="s">
        <v>9</v>
      </c>
      <c r="C3" s="30" t="s">
        <v>10</v>
      </c>
      <c r="D3" s="30" t="str">
        <f>C3</f>
        <v>Base</v>
      </c>
      <c r="E3" s="30" t="str">
        <f t="shared" ref="E3:I3" si="0">D3</f>
        <v>Base</v>
      </c>
      <c r="F3" s="30" t="str">
        <f t="shared" si="0"/>
        <v>Base</v>
      </c>
      <c r="G3" s="30" t="str">
        <f t="shared" si="0"/>
        <v>Base</v>
      </c>
      <c r="H3" s="30" t="str">
        <f t="shared" si="0"/>
        <v>Base</v>
      </c>
      <c r="I3" s="31" t="str">
        <f t="shared" si="0"/>
        <v>Base</v>
      </c>
      <c r="J3" s="30">
        <v>5.0000000000000001E-3</v>
      </c>
      <c r="K3" s="30">
        <f>J3</f>
        <v>5.0000000000000001E-3</v>
      </c>
      <c r="L3" s="30">
        <f t="shared" ref="L3:P3" si="1">K3</f>
        <v>5.0000000000000001E-3</v>
      </c>
      <c r="M3" s="30">
        <f t="shared" si="1"/>
        <v>5.0000000000000001E-3</v>
      </c>
      <c r="N3" s="30">
        <f t="shared" si="1"/>
        <v>5.0000000000000001E-3</v>
      </c>
      <c r="O3" s="30">
        <f t="shared" si="1"/>
        <v>5.0000000000000001E-3</v>
      </c>
      <c r="P3" s="31">
        <f t="shared" si="1"/>
        <v>5.0000000000000001E-3</v>
      </c>
      <c r="Q3" s="30">
        <v>0.01</v>
      </c>
      <c r="R3" s="30">
        <f>Q3</f>
        <v>0.01</v>
      </c>
      <c r="S3" s="30">
        <f t="shared" ref="S3:W3" si="2">R3</f>
        <v>0.01</v>
      </c>
      <c r="T3" s="30">
        <f t="shared" si="2"/>
        <v>0.01</v>
      </c>
      <c r="U3" s="30">
        <f t="shared" si="2"/>
        <v>0.01</v>
      </c>
      <c r="V3" s="30">
        <f t="shared" si="2"/>
        <v>0.01</v>
      </c>
      <c r="W3" s="31">
        <f t="shared" si="2"/>
        <v>0.01</v>
      </c>
      <c r="X3" s="30">
        <v>1.4999999999999999E-2</v>
      </c>
      <c r="Y3" s="30">
        <f>X3</f>
        <v>1.4999999999999999E-2</v>
      </c>
      <c r="Z3" s="30">
        <f t="shared" ref="Z3:AD3" si="3">Y3</f>
        <v>1.4999999999999999E-2</v>
      </c>
      <c r="AA3" s="30">
        <f t="shared" si="3"/>
        <v>1.4999999999999999E-2</v>
      </c>
      <c r="AB3" s="30">
        <f t="shared" si="3"/>
        <v>1.4999999999999999E-2</v>
      </c>
      <c r="AC3" s="30">
        <f t="shared" si="3"/>
        <v>1.4999999999999999E-2</v>
      </c>
      <c r="AD3" s="31">
        <f t="shared" si="3"/>
        <v>1.4999999999999999E-2</v>
      </c>
      <c r="AE3" s="30">
        <v>0.02</v>
      </c>
      <c r="AF3" s="30">
        <f>AE3</f>
        <v>0.02</v>
      </c>
      <c r="AG3" s="30">
        <f t="shared" ref="AG3:AK3" si="4">AF3</f>
        <v>0.02</v>
      </c>
      <c r="AH3" s="30">
        <f t="shared" si="4"/>
        <v>0.02</v>
      </c>
      <c r="AI3" s="30">
        <f t="shared" si="4"/>
        <v>0.02</v>
      </c>
      <c r="AJ3" s="30">
        <f t="shared" si="4"/>
        <v>0.02</v>
      </c>
      <c r="AK3" s="31">
        <f t="shared" si="4"/>
        <v>0.02</v>
      </c>
      <c r="AM3" s="27" t="s">
        <v>11</v>
      </c>
    </row>
    <row r="4" spans="1:39" s="27" customFormat="1" x14ac:dyDescent="0.2">
      <c r="A4" s="118" t="s">
        <v>12</v>
      </c>
      <c r="B4" s="29"/>
      <c r="C4" s="119">
        <f>C32</f>
        <v>198.36090000000002</v>
      </c>
      <c r="D4" s="119">
        <f t="shared" ref="D4:I4" si="5">D32</f>
        <v>35.013060000000003</v>
      </c>
      <c r="E4" s="119">
        <f t="shared" si="5"/>
        <v>2270.4024600000002</v>
      </c>
      <c r="F4" s="119">
        <f t="shared" si="5"/>
        <v>3805.3962000000006</v>
      </c>
      <c r="G4" s="119">
        <f t="shared" si="5"/>
        <v>5430.5186400000002</v>
      </c>
      <c r="H4" s="119">
        <f t="shared" si="5"/>
        <v>3163.1002200000003</v>
      </c>
      <c r="I4" s="121">
        <f t="shared" si="5"/>
        <v>14902.480440000001</v>
      </c>
      <c r="J4" s="119">
        <v>198.36090000000002</v>
      </c>
      <c r="K4" s="119">
        <v>35.013060000000003</v>
      </c>
      <c r="L4" s="119">
        <v>2270.4024600000002</v>
      </c>
      <c r="M4" s="119">
        <v>3805.3962000000006</v>
      </c>
      <c r="N4" s="119">
        <v>5430.5186400000002</v>
      </c>
      <c r="O4" s="119">
        <v>3163.1002200000003</v>
      </c>
      <c r="P4" s="120">
        <v>14902.480440000001</v>
      </c>
      <c r="Q4" s="119">
        <v>198.36090000000002</v>
      </c>
      <c r="R4" s="119">
        <v>35.013060000000003</v>
      </c>
      <c r="S4" s="119">
        <v>2270.4024600000002</v>
      </c>
      <c r="T4" s="119">
        <v>3805.3962000000006</v>
      </c>
      <c r="U4" s="119">
        <v>5430.5186400000002</v>
      </c>
      <c r="V4" s="119">
        <v>3163.1002200000003</v>
      </c>
      <c r="W4" s="120">
        <v>14902.480440000001</v>
      </c>
      <c r="X4" s="119">
        <v>198.36090000000002</v>
      </c>
      <c r="Y4" s="119">
        <v>35.013060000000003</v>
      </c>
      <c r="Z4" s="119">
        <v>2270.4024600000002</v>
      </c>
      <c r="AA4" s="119">
        <v>3805.3962000000006</v>
      </c>
      <c r="AB4" s="119">
        <v>5430.5186400000002</v>
      </c>
      <c r="AC4" s="119">
        <v>3163.1002200000003</v>
      </c>
      <c r="AD4" s="120">
        <v>14902.480440000001</v>
      </c>
      <c r="AE4" s="119">
        <v>198.36090000000002</v>
      </c>
      <c r="AF4" s="119">
        <v>35.013060000000003</v>
      </c>
      <c r="AG4" s="119">
        <v>2270.4024600000002</v>
      </c>
      <c r="AH4" s="119">
        <v>3805.3962000000006</v>
      </c>
      <c r="AI4" s="119">
        <v>5430.5186400000002</v>
      </c>
      <c r="AJ4" s="119">
        <v>3163.1002200000003</v>
      </c>
      <c r="AK4" s="120">
        <v>14902.480440000001</v>
      </c>
    </row>
    <row r="5" spans="1:39" x14ac:dyDescent="0.2">
      <c r="A5" s="45" t="s">
        <v>13</v>
      </c>
      <c r="B5" s="46" t="s">
        <v>14</v>
      </c>
      <c r="C5" s="9">
        <f>C32</f>
        <v>198.36090000000002</v>
      </c>
      <c r="D5" s="49">
        <f t="shared" ref="D5:G5" si="6">D32</f>
        <v>35.013060000000003</v>
      </c>
      <c r="E5" s="9">
        <f t="shared" si="6"/>
        <v>2270.4024600000002</v>
      </c>
      <c r="F5" s="9">
        <f t="shared" si="6"/>
        <v>3805.3962000000006</v>
      </c>
      <c r="G5" s="9">
        <f t="shared" si="6"/>
        <v>5430.5186400000002</v>
      </c>
      <c r="H5" s="9">
        <f t="shared" ref="H5:I5" si="7">H32</f>
        <v>3163.1002200000003</v>
      </c>
      <c r="I5" s="10">
        <f t="shared" si="7"/>
        <v>14902.480440000001</v>
      </c>
      <c r="J5" s="9">
        <f>C32*0.995</f>
        <v>197.36909550000001</v>
      </c>
      <c r="K5" s="62">
        <f t="shared" ref="K5:P5" si="8">D32*0.995</f>
        <v>34.837994700000003</v>
      </c>
      <c r="L5" s="9">
        <f t="shared" si="8"/>
        <v>2259.0504477000004</v>
      </c>
      <c r="M5" s="9">
        <f t="shared" si="8"/>
        <v>3786.3692190000006</v>
      </c>
      <c r="N5" s="9">
        <f>G32*0.995</f>
        <v>5403.3660467999998</v>
      </c>
      <c r="O5" s="9">
        <f t="shared" si="8"/>
        <v>3147.2847189000004</v>
      </c>
      <c r="P5" s="10">
        <f t="shared" si="8"/>
        <v>14827.968037800001</v>
      </c>
      <c r="Q5" s="9">
        <f>C32*0.99</f>
        <v>196.37729100000001</v>
      </c>
      <c r="R5" s="49">
        <f t="shared" ref="R5:W5" si="9">D32*0.99</f>
        <v>34.662929400000003</v>
      </c>
      <c r="S5" s="9">
        <f t="shared" si="9"/>
        <v>2247.6984354000001</v>
      </c>
      <c r="T5" s="9">
        <f t="shared" si="9"/>
        <v>3767.3422380000006</v>
      </c>
      <c r="U5" s="9">
        <f t="shared" si="9"/>
        <v>5376.2134536000003</v>
      </c>
      <c r="V5" s="9">
        <f t="shared" si="9"/>
        <v>3131.4692178</v>
      </c>
      <c r="W5" s="10">
        <f t="shared" si="9"/>
        <v>14753.455635600001</v>
      </c>
      <c r="X5" s="9">
        <f>C32*0.985</f>
        <v>195.38548650000001</v>
      </c>
      <c r="Y5" s="49">
        <f t="shared" ref="Y5:AD5" si="10">D32*0.985</f>
        <v>34.487864100000003</v>
      </c>
      <c r="Z5" s="9">
        <f t="shared" si="10"/>
        <v>2236.3464231000003</v>
      </c>
      <c r="AA5" s="9">
        <f t="shared" si="10"/>
        <v>3748.3152570000007</v>
      </c>
      <c r="AB5" s="9">
        <f t="shared" si="10"/>
        <v>5349.0608603999999</v>
      </c>
      <c r="AC5" s="9">
        <f t="shared" si="10"/>
        <v>3115.6537167000001</v>
      </c>
      <c r="AD5" s="10">
        <f t="shared" si="10"/>
        <v>14678.943233400001</v>
      </c>
      <c r="AE5" s="9">
        <f>C32*0.98</f>
        <v>194.39368200000001</v>
      </c>
      <c r="AF5" s="49">
        <f t="shared" ref="AF5:AK5" si="11">D32*0.98</f>
        <v>34.312798800000003</v>
      </c>
      <c r="AG5" s="9">
        <f t="shared" si="11"/>
        <v>2224.9944108000004</v>
      </c>
      <c r="AH5" s="9">
        <f t="shared" si="11"/>
        <v>3729.2882760000007</v>
      </c>
      <c r="AI5" s="9">
        <f t="shared" si="11"/>
        <v>5321.9082672000004</v>
      </c>
      <c r="AJ5" s="9">
        <f t="shared" si="11"/>
        <v>3099.8382156000002</v>
      </c>
      <c r="AK5" s="10">
        <f t="shared" si="11"/>
        <v>14604.430831200001</v>
      </c>
    </row>
    <row r="6" spans="1:39" x14ac:dyDescent="0.2">
      <c r="A6" s="15" t="s">
        <v>15</v>
      </c>
      <c r="B6" s="16" t="s">
        <v>14</v>
      </c>
      <c r="C6" s="2">
        <f>C32</f>
        <v>198.36090000000002</v>
      </c>
      <c r="D6" s="50">
        <f t="shared" ref="D6:G6" si="12">D32</f>
        <v>35.013060000000003</v>
      </c>
      <c r="E6" s="2">
        <f t="shared" si="12"/>
        <v>2270.4024600000002</v>
      </c>
      <c r="F6" s="2">
        <f t="shared" si="12"/>
        <v>3805.3962000000006</v>
      </c>
      <c r="G6" s="2">
        <f t="shared" si="12"/>
        <v>5430.5186400000002</v>
      </c>
      <c r="H6" s="2">
        <f t="shared" ref="H6:I6" si="13">H32</f>
        <v>3163.1002200000003</v>
      </c>
      <c r="I6" s="11">
        <f t="shared" si="13"/>
        <v>14902.480440000001</v>
      </c>
      <c r="J6" s="2">
        <f t="shared" ref="J6:AK6" si="14">J32</f>
        <v>196.17876000000001</v>
      </c>
      <c r="K6" s="63">
        <f t="shared" si="14"/>
        <v>34.854300000000002</v>
      </c>
      <c r="L6" s="2">
        <f t="shared" si="14"/>
        <v>2229.0082200000002</v>
      </c>
      <c r="M6" s="2">
        <f t="shared" si="14"/>
        <v>3803.5753200000004</v>
      </c>
      <c r="N6" s="2">
        <f t="shared" si="14"/>
        <v>5447.7813599999999</v>
      </c>
      <c r="O6" s="2">
        <f t="shared" si="14"/>
        <v>3117.5847000000003</v>
      </c>
      <c r="P6" s="11">
        <f t="shared" si="14"/>
        <v>14827.968037800001</v>
      </c>
      <c r="Q6" s="2">
        <f t="shared" si="14"/>
        <v>195.61338000000001</v>
      </c>
      <c r="R6" s="50">
        <f t="shared" si="14"/>
        <v>34.755480000000006</v>
      </c>
      <c r="S6" s="2">
        <f t="shared" si="14"/>
        <v>2203.6438800000001</v>
      </c>
      <c r="T6" s="2">
        <f t="shared" si="14"/>
        <v>3798.6780600000002</v>
      </c>
      <c r="U6" s="2">
        <f t="shared" si="14"/>
        <v>5437.2481200000002</v>
      </c>
      <c r="V6" s="2">
        <f t="shared" si="14"/>
        <v>3081.1978800000002</v>
      </c>
      <c r="W6" s="11">
        <f t="shared" si="14"/>
        <v>14753.455635600001</v>
      </c>
      <c r="X6" s="2">
        <f t="shared" si="14"/>
        <v>194.99292000000003</v>
      </c>
      <c r="Y6" s="50">
        <f t="shared" si="14"/>
        <v>34.658279999999998</v>
      </c>
      <c r="Z6" s="2">
        <f t="shared" si="14"/>
        <v>2178.5436</v>
      </c>
      <c r="AA6" s="2">
        <f t="shared" si="14"/>
        <v>3793.5734400000001</v>
      </c>
      <c r="AB6" s="2">
        <f t="shared" si="14"/>
        <v>5426.4961800000001</v>
      </c>
      <c r="AC6" s="2">
        <f t="shared" si="14"/>
        <v>3044.8969200000001</v>
      </c>
      <c r="AD6" s="11">
        <f t="shared" si="14"/>
        <v>14678.943233400001</v>
      </c>
      <c r="AE6" s="2">
        <f t="shared" si="14"/>
        <v>194.38218000000003</v>
      </c>
      <c r="AF6" s="50">
        <f t="shared" si="14"/>
        <v>34.564320000000002</v>
      </c>
      <c r="AG6" s="2">
        <f t="shared" si="14"/>
        <v>2154.0556799999999</v>
      </c>
      <c r="AH6" s="2">
        <f t="shared" si="14"/>
        <v>3788.6162400000003</v>
      </c>
      <c r="AI6" s="2">
        <f t="shared" si="14"/>
        <v>5416.5250800000003</v>
      </c>
      <c r="AJ6" s="2">
        <f t="shared" si="14"/>
        <v>3008.4890400000004</v>
      </c>
      <c r="AK6" s="11">
        <f t="shared" si="14"/>
        <v>14604.430831200001</v>
      </c>
    </row>
    <row r="7" spans="1:39" x14ac:dyDescent="0.2">
      <c r="A7" s="19" t="s">
        <v>16</v>
      </c>
      <c r="B7" s="20" t="s">
        <v>17</v>
      </c>
      <c r="C7" s="7">
        <f t="shared" ref="C7:I7" si="15">C6/C32-1</f>
        <v>0</v>
      </c>
      <c r="D7" s="56">
        <f t="shared" si="15"/>
        <v>0</v>
      </c>
      <c r="E7" s="56">
        <f t="shared" si="15"/>
        <v>0</v>
      </c>
      <c r="F7" s="56">
        <f t="shared" si="15"/>
        <v>0</v>
      </c>
      <c r="G7" s="56">
        <f t="shared" si="15"/>
        <v>0</v>
      </c>
      <c r="H7" s="56">
        <f t="shared" si="15"/>
        <v>0</v>
      </c>
      <c r="I7" s="57">
        <f t="shared" si="15"/>
        <v>0</v>
      </c>
      <c r="J7" s="56">
        <f t="shared" ref="J7:P7" si="16">J6/C32-1</f>
        <v>-1.1000857527869723E-2</v>
      </c>
      <c r="K7" s="56">
        <f t="shared" si="16"/>
        <v>-4.5343080553370552E-3</v>
      </c>
      <c r="L7" s="56">
        <f t="shared" si="16"/>
        <v>-1.823211555188331E-2</v>
      </c>
      <c r="M7" s="56">
        <f t="shared" si="16"/>
        <v>-4.7849945296107865E-4</v>
      </c>
      <c r="N7" s="56">
        <f t="shared" si="16"/>
        <v>3.1788344989456263E-3</v>
      </c>
      <c r="O7" s="56">
        <f t="shared" si="16"/>
        <v>-1.438952825845019E-2</v>
      </c>
      <c r="P7" s="57">
        <f t="shared" si="16"/>
        <v>-5.0000000000000044E-3</v>
      </c>
      <c r="Q7" s="56">
        <f t="shared" ref="Q7:W7" si="17">Q6/C32-1</f>
        <v>-1.3851116827963583E-2</v>
      </c>
      <c r="R7" s="56">
        <f t="shared" si="17"/>
        <v>-7.3566834775365963E-3</v>
      </c>
      <c r="S7" s="56">
        <f t="shared" si="17"/>
        <v>-2.9403852918658324E-2</v>
      </c>
      <c r="T7" s="56">
        <f t="shared" si="17"/>
        <v>-1.7654245831223436E-3</v>
      </c>
      <c r="U7" s="56">
        <f t="shared" si="17"/>
        <v>1.2391965567399854E-3</v>
      </c>
      <c r="V7" s="56">
        <f t="shared" si="17"/>
        <v>-2.5893058804188018E-2</v>
      </c>
      <c r="W7" s="57">
        <f t="shared" si="17"/>
        <v>-1.0000000000000009E-2</v>
      </c>
      <c r="X7" s="56">
        <f t="shared" ref="X7:AD7" si="18">X6/C32-1</f>
        <v>-1.6979051819184021E-2</v>
      </c>
      <c r="Y7" s="56">
        <f t="shared" si="18"/>
        <v>-1.0132790450192108E-2</v>
      </c>
      <c r="Z7" s="56">
        <f t="shared" si="18"/>
        <v>-4.0459284914622695E-2</v>
      </c>
      <c r="AA7" s="56">
        <f t="shared" si="18"/>
        <v>-3.1068407541902099E-3</v>
      </c>
      <c r="AB7" s="56">
        <f t="shared" si="18"/>
        <v>-7.4071378198969917E-4</v>
      </c>
      <c r="AC7" s="56">
        <f t="shared" si="18"/>
        <v>-3.736944509459772E-2</v>
      </c>
      <c r="AD7" s="57">
        <f t="shared" si="18"/>
        <v>-1.5000000000000013E-2</v>
      </c>
      <c r="AE7" s="56">
        <f t="shared" ref="AE7:AK7" si="19">AE6/C32-1</f>
        <v>-2.0057985217852847E-2</v>
      </c>
      <c r="AF7" s="56">
        <f t="shared" si="19"/>
        <v>-1.2816360523758896E-2</v>
      </c>
      <c r="AG7" s="7">
        <f t="shared" si="19"/>
        <v>-5.1245002615087132E-2</v>
      </c>
      <c r="AH7" s="7">
        <f t="shared" si="19"/>
        <v>-4.4095172008634664E-3</v>
      </c>
      <c r="AI7" s="7">
        <f t="shared" si="19"/>
        <v>-2.5768367494268807E-3</v>
      </c>
      <c r="AJ7" s="7">
        <f t="shared" si="19"/>
        <v>-4.8879633665227296E-2</v>
      </c>
      <c r="AK7" s="12">
        <f t="shared" si="19"/>
        <v>-2.0000000000000018E-2</v>
      </c>
    </row>
    <row r="8" spans="1:39" x14ac:dyDescent="0.2">
      <c r="A8" s="17" t="s">
        <v>18</v>
      </c>
      <c r="B8" s="18" t="s">
        <v>19</v>
      </c>
      <c r="C8" s="13">
        <f>(C5-C6)*10</f>
        <v>0</v>
      </c>
      <c r="D8" s="13">
        <f t="shared" ref="D8:G8" si="20">(D5-D6)*10</f>
        <v>0</v>
      </c>
      <c r="E8" s="13">
        <f t="shared" si="20"/>
        <v>0</v>
      </c>
      <c r="F8" s="13">
        <f t="shared" si="20"/>
        <v>0</v>
      </c>
      <c r="G8" s="13">
        <f t="shared" si="20"/>
        <v>0</v>
      </c>
      <c r="H8" s="13">
        <f t="shared" ref="H8:I8" si="21">(H5-H6)*10</f>
        <v>0</v>
      </c>
      <c r="I8" s="14">
        <f t="shared" si="21"/>
        <v>0</v>
      </c>
      <c r="J8" s="13">
        <f>(J5-J6)*10</f>
        <v>11.903355000000033</v>
      </c>
      <c r="K8" s="51">
        <f>(K5-K6)*10</f>
        <v>-0.16305299999999079</v>
      </c>
      <c r="L8" s="13">
        <f t="shared" ref="L8:AK8" si="22">(L5-L6)*10</f>
        <v>300.4222770000024</v>
      </c>
      <c r="M8" s="13">
        <f t="shared" si="22"/>
        <v>-172.06100999999762</v>
      </c>
      <c r="N8" s="13">
        <f t="shared" si="22"/>
        <v>-444.15313200000128</v>
      </c>
      <c r="O8" s="13">
        <f t="shared" si="22"/>
        <v>297.00018900000032</v>
      </c>
      <c r="P8" s="103">
        <f t="shared" si="22"/>
        <v>0</v>
      </c>
      <c r="Q8" s="13">
        <f t="shared" si="22"/>
        <v>7.6391100000000733</v>
      </c>
      <c r="R8" s="13">
        <f t="shared" si="22"/>
        <v>-0.92550600000002703</v>
      </c>
      <c r="S8" s="13">
        <f t="shared" si="22"/>
        <v>440.54555400000027</v>
      </c>
      <c r="T8" s="13">
        <f t="shared" si="22"/>
        <v>-313.35821999999553</v>
      </c>
      <c r="U8" s="13">
        <f t="shared" si="22"/>
        <v>-610.34666399999878</v>
      </c>
      <c r="V8" s="13">
        <f t="shared" si="22"/>
        <v>502.71337799999856</v>
      </c>
      <c r="W8" s="14">
        <f t="shared" si="22"/>
        <v>0</v>
      </c>
      <c r="X8" s="13">
        <f t="shared" si="22"/>
        <v>3.9256649999998672</v>
      </c>
      <c r="Y8" s="13">
        <f t="shared" si="22"/>
        <v>-1.7041589999999474</v>
      </c>
      <c r="Z8" s="13">
        <f t="shared" si="22"/>
        <v>578.02823100000296</v>
      </c>
      <c r="AA8" s="13">
        <f t="shared" si="22"/>
        <v>-452.58182999999462</v>
      </c>
      <c r="AB8" s="13">
        <f t="shared" si="22"/>
        <v>-774.35319600000184</v>
      </c>
      <c r="AC8" s="13">
        <f t="shared" si="22"/>
        <v>707.56796699999995</v>
      </c>
      <c r="AD8" s="14">
        <f t="shared" si="22"/>
        <v>0</v>
      </c>
      <c r="AE8" s="13">
        <f t="shared" si="22"/>
        <v>0.11501999999978807</v>
      </c>
      <c r="AF8" s="13">
        <f t="shared" si="22"/>
        <v>-2.5152119999999911</v>
      </c>
      <c r="AG8" s="13">
        <f t="shared" si="22"/>
        <v>709.38730800000485</v>
      </c>
      <c r="AH8" s="13">
        <f t="shared" si="22"/>
        <v>-593.27963999999611</v>
      </c>
      <c r="AI8" s="13">
        <f t="shared" si="22"/>
        <v>-946.16812799999934</v>
      </c>
      <c r="AJ8" s="13">
        <f t="shared" si="22"/>
        <v>913.49175599999853</v>
      </c>
      <c r="AK8" s="14">
        <f t="shared" si="22"/>
        <v>0</v>
      </c>
    </row>
    <row r="9" spans="1:39" x14ac:dyDescent="0.2">
      <c r="A9" s="17" t="s">
        <v>20</v>
      </c>
      <c r="B9" s="18" t="s">
        <v>21</v>
      </c>
      <c r="C9">
        <f>-(C46-$C46)*1000</f>
        <v>0</v>
      </c>
      <c r="D9">
        <f>-(D46-$D46)*1000</f>
        <v>0</v>
      </c>
      <c r="E9">
        <f>-(E46-$E46)*1000</f>
        <v>0</v>
      </c>
      <c r="F9">
        <f>-(F46-$F46)*1000</f>
        <v>0</v>
      </c>
      <c r="G9">
        <f>-(G46-$G46)*1000</f>
        <v>0</v>
      </c>
      <c r="H9">
        <f>-(H46-$H46)*1000</f>
        <v>0</v>
      </c>
      <c r="I9" s="18">
        <f>-(I46-$I46)*1000</f>
        <v>0</v>
      </c>
      <c r="J9" s="34">
        <f>-(J46-$C46)*1000</f>
        <v>147.84940901608391</v>
      </c>
      <c r="K9" s="34">
        <f>-(K46-$D46)*1000</f>
        <v>8.4889834752456128</v>
      </c>
      <c r="L9" s="34">
        <f>-(L46-$E46)*1000</f>
        <v>12226.899673366017</v>
      </c>
      <c r="M9" s="34">
        <f>-(M46-$F46)*1000</f>
        <v>2677.7632860799549</v>
      </c>
      <c r="N9" s="34">
        <f>-(N46-$G46)*1000</f>
        <v>808.25610487502161</v>
      </c>
      <c r="O9" s="34">
        <f>-(O46-$H46)*1000</f>
        <v>8811.6023917956391</v>
      </c>
      <c r="P9" s="35">
        <f>-(P46-$I46)*1000</f>
        <v>24674.261399088053</v>
      </c>
      <c r="Q9" s="34">
        <f>-(Q46-$C46)*1000</f>
        <v>155.0051166095644</v>
      </c>
      <c r="R9" s="34">
        <f>-(R46-$D46)*1000</f>
        <v>11.228983475245604</v>
      </c>
      <c r="S9" s="34">
        <f>-(S46-$E46)*1000</f>
        <v>13401.250955186613</v>
      </c>
      <c r="T9" s="34">
        <f>-(T46-$F46)*1000</f>
        <v>3141.4655782399777</v>
      </c>
      <c r="U9" s="34">
        <f>-(U46-$G46)*1000</f>
        <v>1271.4689775182624</v>
      </c>
      <c r="V9" s="34">
        <f>-(V46-$H46)*1000</f>
        <v>10169.765004851271</v>
      </c>
      <c r="W9" s="35">
        <f>-(W46-$I46)*1000</f>
        <v>28140.544134805707</v>
      </c>
      <c r="X9" s="34">
        <f>-(X46-$C46)*1000</f>
        <v>145.89259572967839</v>
      </c>
      <c r="Y9" s="34">
        <f>-(Y46-$D46)*1000</f>
        <v>13.468983475245611</v>
      </c>
      <c r="Z9" s="34">
        <f>-(Z46-$E46)*1000</f>
        <v>14201.090469979023</v>
      </c>
      <c r="AA9" s="34">
        <f>-(AA46-$F46)*1000</f>
        <v>3441.5658018611434</v>
      </c>
      <c r="AB9" s="34">
        <f>-(AB46-$G46)*1000</f>
        <v>1637.7347573617033</v>
      </c>
      <c r="AC9" s="34">
        <f>-(AC46-$H46)*1000</f>
        <v>11227.649595605746</v>
      </c>
      <c r="AD9" s="35">
        <f>-(AD46-$I46)*1000</f>
        <v>30655.081836525191</v>
      </c>
      <c r="AE9" s="34">
        <f>-(AE46-$C46)*1000</f>
        <v>138.35174378566816</v>
      </c>
      <c r="AF9" s="34">
        <f>-(AF46-$D46)*1000</f>
        <v>15.378983475245606</v>
      </c>
      <c r="AG9" s="34">
        <f>-(AG46-$E46)*1000</f>
        <v>14803.126682677997</v>
      </c>
      <c r="AH9" s="34">
        <f>-(AH46-$F46)*1000</f>
        <v>3656.9677438667886</v>
      </c>
      <c r="AI9" s="34">
        <f>-(AI46-$G46)*1000</f>
        <v>2091.7965087983293</v>
      </c>
      <c r="AJ9" s="34">
        <f>-(AJ46-$H46)*1000</f>
        <v>12079.077583749728</v>
      </c>
      <c r="AK9" s="35">
        <f>-(AK46-$I46)*1000</f>
        <v>32770.152493323389</v>
      </c>
    </row>
    <row r="10" spans="1:39" x14ac:dyDescent="0.2">
      <c r="A10" s="36" t="s">
        <v>22</v>
      </c>
      <c r="B10" s="37" t="s">
        <v>17</v>
      </c>
      <c r="C10" s="38">
        <f>C46/$C46-1</f>
        <v>0</v>
      </c>
      <c r="D10" s="38">
        <f>D46/$D46-1</f>
        <v>0</v>
      </c>
      <c r="E10" s="38">
        <f>E46/$E46-1</f>
        <v>0</v>
      </c>
      <c r="F10" s="38">
        <f>F46/$F46-1</f>
        <v>0</v>
      </c>
      <c r="G10" s="38">
        <f>G46/$G46-1</f>
        <v>0</v>
      </c>
      <c r="H10" s="38">
        <f>H46/$H46-1</f>
        <v>0</v>
      </c>
      <c r="I10" s="39">
        <f>I46/$I46-1</f>
        <v>0</v>
      </c>
      <c r="J10" s="38">
        <f>J46/$C46-1</f>
        <v>-0.17625005545059358</v>
      </c>
      <c r="K10" s="38">
        <f>K46/$D46-1</f>
        <v>-9.5878483601734898E-2</v>
      </c>
      <c r="L10" s="38">
        <f>L46/$E46-1</f>
        <v>-0.53771688309466437</v>
      </c>
      <c r="M10" s="38">
        <f>M46/$F46-1</f>
        <v>-0.32283334040852507</v>
      </c>
      <c r="N10" s="38">
        <f>N46/$G46-1</f>
        <v>-9.9265318280041703E-2</v>
      </c>
      <c r="O10" s="38">
        <f>O46/$H46-1</f>
        <v>-0.33138896025664955</v>
      </c>
      <c r="P10" s="39">
        <f>P46/$I46-1</f>
        <v>-0.36996886336963708</v>
      </c>
      <c r="Q10" s="38">
        <f>Q46/$C46-1</f>
        <v>-0.18478031518265625</v>
      </c>
      <c r="R10" s="38">
        <f>R46/$D46-1</f>
        <v>-0.12682530377576662</v>
      </c>
      <c r="S10" s="38">
        <f>S46/$E46-1</f>
        <v>-0.58936272364198894</v>
      </c>
      <c r="T10" s="38">
        <f>T46/$F46-1</f>
        <v>-0.37873766948469878</v>
      </c>
      <c r="U10" s="38">
        <f>U46/$G46-1</f>
        <v>-0.1561544317145187</v>
      </c>
      <c r="V10" s="38">
        <f>V46/$H46-1</f>
        <v>-0.38246708160027976</v>
      </c>
      <c r="W10" s="39">
        <f>W46/$I46-1</f>
        <v>-0.42194272646158992</v>
      </c>
      <c r="X10" s="38">
        <f>X46/$C46-1</f>
        <v>-0.17391735454545898</v>
      </c>
      <c r="Y10" s="38">
        <f>Y46/$D46-1</f>
        <v>-0.15212489399103357</v>
      </c>
      <c r="Z10" s="38">
        <f>Z46/$E46-1</f>
        <v>-0.62453821557859057</v>
      </c>
      <c r="AA10" s="38">
        <f>AA46/$F46-1</f>
        <v>-0.41491799884861158</v>
      </c>
      <c r="AB10" s="38">
        <f>AB46/$G46-1</f>
        <v>-0.20113706654023233</v>
      </c>
      <c r="AC10" s="38">
        <f>AC46/$H46-1</f>
        <v>-0.42225227151398592</v>
      </c>
      <c r="AD10" s="39">
        <f>AD46/$I46-1</f>
        <v>-0.45964600926135957</v>
      </c>
      <c r="AE10" s="38">
        <f>AE46/$C46-1</f>
        <v>-0.16492796742432458</v>
      </c>
      <c r="AF10" s="38">
        <f>AF46/$D46-1</f>
        <v>-0.17369731243351549</v>
      </c>
      <c r="AG10" s="38">
        <f>AG46/$E46-1</f>
        <v>-0.65101467686074055</v>
      </c>
      <c r="AH10" s="38">
        <f>AH46/$F46-1</f>
        <v>-0.44088703383749805</v>
      </c>
      <c r="AI10" s="38">
        <f>AI46/$G46-1</f>
        <v>-0.25690229244238538</v>
      </c>
      <c r="AJ10" s="38">
        <f>AJ46/$H46-1</f>
        <v>-0.45427298956036022</v>
      </c>
      <c r="AK10" s="39">
        <f>AK46/$I46-1</f>
        <v>-0.49135963481576095</v>
      </c>
    </row>
    <row r="11" spans="1:39" x14ac:dyDescent="0.2">
      <c r="A11" s="32" t="s">
        <v>23</v>
      </c>
      <c r="B11" s="33" t="s">
        <v>24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8">
        <v>0</v>
      </c>
      <c r="J11" s="47">
        <f>J8/J60*1000</f>
        <v>276.44161990933492</v>
      </c>
      <c r="K11" s="64">
        <f>K8/K60*1000</f>
        <v>-3.7867168920925329</v>
      </c>
      <c r="L11" s="47">
        <f t="shared" ref="L11:AK11" si="23">L8/L60*1000</f>
        <v>6976.9590935271071</v>
      </c>
      <c r="M11" s="47">
        <f t="shared" si="23"/>
        <v>-3995.9174810492909</v>
      </c>
      <c r="N11" s="47">
        <f>N8/N60*1000</f>
        <v>-10314.941568816914</v>
      </c>
      <c r="O11" s="47">
        <f t="shared" si="23"/>
        <v>6897.48506707046</v>
      </c>
      <c r="P11" s="48">
        <f>P8/P60*1000</f>
        <v>0</v>
      </c>
      <c r="Q11" s="47">
        <f t="shared" si="23"/>
        <v>119.98313129631548</v>
      </c>
      <c r="R11" s="47">
        <f>R8/R60*1000</f>
        <v>-14.536393364348717</v>
      </c>
      <c r="S11" s="47">
        <f t="shared" si="23"/>
        <v>6919.3970302285952</v>
      </c>
      <c r="T11" s="47">
        <f t="shared" si="23"/>
        <v>-4921.7383246266663</v>
      </c>
      <c r="U11" s="47">
        <f t="shared" si="23"/>
        <v>-9586.3659409249631</v>
      </c>
      <c r="V11" s="47">
        <f t="shared" si="23"/>
        <v>7895.8314825925427</v>
      </c>
      <c r="W11" s="48">
        <f t="shared" si="23"/>
        <v>0</v>
      </c>
      <c r="X11" s="47">
        <f t="shared" si="23"/>
        <v>46.580391849751386</v>
      </c>
      <c r="Y11" s="47">
        <f t="shared" si="23"/>
        <v>-20.220878244649178</v>
      </c>
      <c r="Z11" s="47">
        <f t="shared" si="23"/>
        <v>6858.6549031055019</v>
      </c>
      <c r="AA11" s="47">
        <f t="shared" si="23"/>
        <v>-5370.1574091212651</v>
      </c>
      <c r="AB11" s="47">
        <f t="shared" si="23"/>
        <v>-9188.1694693226855</v>
      </c>
      <c r="AC11" s="47">
        <f t="shared" si="23"/>
        <v>8395.722294997935</v>
      </c>
      <c r="AD11" s="48">
        <f t="shared" si="23"/>
        <v>0</v>
      </c>
      <c r="AE11" s="47">
        <f t="shared" si="23"/>
        <v>1.0966170954786052</v>
      </c>
      <c r="AF11" s="47">
        <f t="shared" si="23"/>
        <v>-23.980390175256524</v>
      </c>
      <c r="AG11" s="47">
        <f t="shared" si="23"/>
        <v>6763.3998371568887</v>
      </c>
      <c r="AH11" s="47">
        <f t="shared" si="23"/>
        <v>-5656.4127597338456</v>
      </c>
      <c r="AI11" s="47">
        <f t="shared" si="23"/>
        <v>-9020.9019680377332</v>
      </c>
      <c r="AJ11" s="47">
        <f t="shared" si="23"/>
        <v>8709.3607738672818</v>
      </c>
      <c r="AK11" s="48">
        <f t="shared" si="23"/>
        <v>0</v>
      </c>
    </row>
    <row r="12" spans="1:39" x14ac:dyDescent="0.2">
      <c r="A12" s="21" t="s">
        <v>25</v>
      </c>
      <c r="B12" s="22" t="s">
        <v>26</v>
      </c>
      <c r="C12" s="23">
        <f>(C6+C8/10)/C32-1</f>
        <v>0</v>
      </c>
      <c r="D12" s="23">
        <f t="shared" ref="D12:I12" si="24">(D6+D8/10)/D32-1</f>
        <v>0</v>
      </c>
      <c r="E12" s="23">
        <f t="shared" si="24"/>
        <v>0</v>
      </c>
      <c r="F12" s="23">
        <f t="shared" si="24"/>
        <v>0</v>
      </c>
      <c r="G12" s="23">
        <f t="shared" si="24"/>
        <v>0</v>
      </c>
      <c r="H12" s="23">
        <f t="shared" si="24"/>
        <v>0</v>
      </c>
      <c r="I12" s="24">
        <f t="shared" si="24"/>
        <v>0</v>
      </c>
      <c r="J12" s="23">
        <f>(J6+J8/10)/C32-1</f>
        <v>-5.0000000000000044E-3</v>
      </c>
      <c r="K12" s="23">
        <f>(K6+K8/10)/D32-1</f>
        <v>-5.0000000000000044E-3</v>
      </c>
      <c r="L12" s="23">
        <f t="shared" ref="L12:P12" si="25">(L6+L8/10)/E32-1</f>
        <v>-4.9999999999998934E-3</v>
      </c>
      <c r="M12" s="23">
        <f t="shared" si="25"/>
        <v>-5.0000000000000044E-3</v>
      </c>
      <c r="N12" s="23">
        <f t="shared" si="25"/>
        <v>-5.0000000000001155E-3</v>
      </c>
      <c r="O12" s="23">
        <f t="shared" si="25"/>
        <v>-5.0000000000000044E-3</v>
      </c>
      <c r="P12" s="24">
        <f t="shared" si="25"/>
        <v>-5.0000000000000044E-3</v>
      </c>
      <c r="Q12" s="23">
        <f>(Q6+Q8/10)/C32-1</f>
        <v>-1.0000000000000009E-2</v>
      </c>
      <c r="R12" s="23">
        <f t="shared" ref="R12:W12" si="26">(R6+R8/10)/D32-1</f>
        <v>-1.0000000000000009E-2</v>
      </c>
      <c r="S12" s="23">
        <f t="shared" si="26"/>
        <v>-1.0000000000000009E-2</v>
      </c>
      <c r="T12" s="23">
        <f t="shared" si="26"/>
        <v>-1.0000000000000009E-2</v>
      </c>
      <c r="U12" s="23">
        <f t="shared" si="26"/>
        <v>-1.0000000000000009E-2</v>
      </c>
      <c r="V12" s="23">
        <f t="shared" si="26"/>
        <v>-1.000000000000012E-2</v>
      </c>
      <c r="W12" s="24">
        <f t="shared" si="26"/>
        <v>-1.0000000000000009E-2</v>
      </c>
      <c r="X12" s="23">
        <f>(X6+X8/10)/C32-1</f>
        <v>-1.5000000000000013E-2</v>
      </c>
      <c r="Y12" s="23">
        <f t="shared" ref="Y12:AD12" si="27">(Y6+Y8/10)/D32-1</f>
        <v>-1.5000000000000013E-2</v>
      </c>
      <c r="Z12" s="23">
        <f t="shared" si="27"/>
        <v>-1.5000000000000013E-2</v>
      </c>
      <c r="AA12" s="23">
        <f t="shared" si="27"/>
        <v>-1.5000000000000013E-2</v>
      </c>
      <c r="AB12" s="23">
        <f t="shared" si="27"/>
        <v>-1.5000000000000013E-2</v>
      </c>
      <c r="AC12" s="23">
        <f t="shared" si="27"/>
        <v>-1.5000000000000013E-2</v>
      </c>
      <c r="AD12" s="24">
        <f t="shared" si="27"/>
        <v>-1.5000000000000013E-2</v>
      </c>
      <c r="AE12" s="23">
        <f>(AE6+AE8/10)/C32-1</f>
        <v>-2.0000000000000018E-2</v>
      </c>
      <c r="AF12" s="23">
        <f t="shared" ref="AF12:AK12" si="28">(AF6+AF8/10)/D32-1</f>
        <v>-2.0000000000000018E-2</v>
      </c>
      <c r="AG12" s="23">
        <f t="shared" si="28"/>
        <v>-1.9999999999999907E-2</v>
      </c>
      <c r="AH12" s="23">
        <f t="shared" si="28"/>
        <v>-2.0000000000000018E-2</v>
      </c>
      <c r="AI12" s="23">
        <f t="shared" si="28"/>
        <v>-2.0000000000000018E-2</v>
      </c>
      <c r="AJ12" s="23">
        <f t="shared" si="28"/>
        <v>-2.0000000000000018E-2</v>
      </c>
      <c r="AK12" s="24">
        <f t="shared" si="28"/>
        <v>-2.0000000000000018E-2</v>
      </c>
    </row>
    <row r="13" spans="1:39" x14ac:dyDescent="0.2">
      <c r="A13" s="15" t="s">
        <v>27</v>
      </c>
      <c r="B13" s="16" t="s">
        <v>28</v>
      </c>
      <c r="C13" s="25" t="s">
        <v>29</v>
      </c>
      <c r="D13" s="25" t="s">
        <v>29</v>
      </c>
      <c r="E13" s="25" t="s">
        <v>29</v>
      </c>
      <c r="F13" s="25" t="s">
        <v>29</v>
      </c>
      <c r="G13" s="25" t="s">
        <v>29</v>
      </c>
      <c r="H13" s="25" t="s">
        <v>29</v>
      </c>
      <c r="I13" s="26" t="s">
        <v>29</v>
      </c>
      <c r="J13" s="85" t="str">
        <f t="shared" ref="J13:AK13" si="29">IF((J9-J11)&gt;0,"YES","NO")</f>
        <v>NO</v>
      </c>
      <c r="K13" s="25" t="str">
        <f t="shared" si="29"/>
        <v>YES</v>
      </c>
      <c r="L13" s="25" t="str">
        <f t="shared" si="29"/>
        <v>YES</v>
      </c>
      <c r="M13" s="25" t="str">
        <f t="shared" si="29"/>
        <v>YES</v>
      </c>
      <c r="N13" s="25" t="str">
        <f t="shared" si="29"/>
        <v>YES</v>
      </c>
      <c r="O13" s="25" t="str">
        <f t="shared" si="29"/>
        <v>YES</v>
      </c>
      <c r="P13" s="26" t="str">
        <f t="shared" si="29"/>
        <v>YES</v>
      </c>
      <c r="Q13" s="25" t="str">
        <f t="shared" si="29"/>
        <v>YES</v>
      </c>
      <c r="R13" s="25" t="str">
        <f t="shared" si="29"/>
        <v>YES</v>
      </c>
      <c r="S13" s="25" t="str">
        <f t="shared" si="29"/>
        <v>YES</v>
      </c>
      <c r="T13" s="25" t="str">
        <f t="shared" si="29"/>
        <v>YES</v>
      </c>
      <c r="U13" s="25" t="str">
        <f t="shared" si="29"/>
        <v>YES</v>
      </c>
      <c r="V13" s="25" t="str">
        <f t="shared" si="29"/>
        <v>YES</v>
      </c>
      <c r="W13" s="26" t="str">
        <f t="shared" si="29"/>
        <v>YES</v>
      </c>
      <c r="X13" s="25" t="str">
        <f t="shared" si="29"/>
        <v>YES</v>
      </c>
      <c r="Y13" s="25" t="str">
        <f t="shared" si="29"/>
        <v>YES</v>
      </c>
      <c r="Z13" s="25" t="str">
        <f t="shared" si="29"/>
        <v>YES</v>
      </c>
      <c r="AA13" s="25" t="str">
        <f t="shared" si="29"/>
        <v>YES</v>
      </c>
      <c r="AB13" s="25" t="str">
        <f t="shared" si="29"/>
        <v>YES</v>
      </c>
      <c r="AC13" s="25" t="str">
        <f t="shared" si="29"/>
        <v>YES</v>
      </c>
      <c r="AD13" s="26" t="str">
        <f t="shared" si="29"/>
        <v>YES</v>
      </c>
      <c r="AE13" s="25" t="str">
        <f t="shared" si="29"/>
        <v>YES</v>
      </c>
      <c r="AF13" s="25" t="str">
        <f t="shared" si="29"/>
        <v>YES</v>
      </c>
      <c r="AG13" s="25" t="str">
        <f t="shared" si="29"/>
        <v>YES</v>
      </c>
      <c r="AH13" s="25" t="str">
        <f t="shared" si="29"/>
        <v>YES</v>
      </c>
      <c r="AI13" s="25" t="str">
        <f t="shared" si="29"/>
        <v>YES</v>
      </c>
      <c r="AJ13" s="25" t="str">
        <f t="shared" si="29"/>
        <v>YES</v>
      </c>
      <c r="AK13" s="26" t="str">
        <f t="shared" si="29"/>
        <v>YES</v>
      </c>
    </row>
    <row r="14" spans="1:39" x14ac:dyDescent="0.2">
      <c r="C14" s="115"/>
      <c r="D14" s="115"/>
      <c r="E14" s="115"/>
      <c r="F14" s="115"/>
      <c r="G14" s="115"/>
      <c r="H14" s="115"/>
      <c r="I14" s="116"/>
      <c r="J14" s="117"/>
      <c r="K14" s="115"/>
      <c r="L14" s="115"/>
      <c r="M14" s="115"/>
      <c r="N14" s="115"/>
      <c r="O14" s="115"/>
      <c r="P14" s="116"/>
      <c r="Q14" s="115"/>
      <c r="R14" s="115"/>
      <c r="S14" s="115"/>
      <c r="T14" s="115"/>
      <c r="U14" s="115"/>
      <c r="V14" s="115"/>
      <c r="W14" s="116"/>
      <c r="X14" s="115"/>
      <c r="Y14" s="115"/>
      <c r="Z14" s="115"/>
      <c r="AA14" s="115"/>
      <c r="AB14" s="115"/>
      <c r="AC14" s="115"/>
      <c r="AD14" s="116"/>
      <c r="AE14" s="115"/>
      <c r="AF14" s="115"/>
      <c r="AG14" s="115"/>
      <c r="AH14" s="115"/>
      <c r="AI14" s="115"/>
      <c r="AJ14" s="115"/>
      <c r="AK14" s="116"/>
    </row>
    <row r="15" spans="1:39" x14ac:dyDescent="0.2">
      <c r="O15" s="102">
        <f>J11+L11+O11</f>
        <v>14150.885780506902</v>
      </c>
      <c r="P15" s="101">
        <f>K11+M11+N11</f>
        <v>-14314.645766758298</v>
      </c>
    </row>
    <row r="16" spans="1:39" s="77" customFormat="1" x14ac:dyDescent="0.2">
      <c r="A16" s="77" t="s">
        <v>30</v>
      </c>
      <c r="B16" s="78"/>
      <c r="C16" s="79">
        <f>C46*1000</f>
        <v>838.86163120969377</v>
      </c>
      <c r="D16" s="80">
        <f>D46*1000</f>
        <v>88.538983475245615</v>
      </c>
      <c r="E16" s="79">
        <f t="shared" ref="E16:I16" si="30">E46*1000</f>
        <v>22738.545241499298</v>
      </c>
      <c r="F16" s="80">
        <f t="shared" si="30"/>
        <v>8294.5685928578987</v>
      </c>
      <c r="G16" s="79">
        <f t="shared" si="30"/>
        <v>8142.3816382154291</v>
      </c>
      <c r="H16" s="80">
        <f t="shared" si="30"/>
        <v>26589.909286571739</v>
      </c>
      <c r="I16" s="84">
        <f t="shared" si="30"/>
        <v>66692.805373829295</v>
      </c>
      <c r="J16" s="81">
        <f>($C$46*1000)-(J9-J11)</f>
        <v>967.4538421029448</v>
      </c>
      <c r="K16" s="81">
        <f>(D$46*1000)-(K9-K11)</f>
        <v>76.263283107907469</v>
      </c>
      <c r="L16" s="81">
        <f t="shared" ref="L16:O16" si="31">(E$46*1000)-(L9-L11)</f>
        <v>17488.604661660389</v>
      </c>
      <c r="M16" s="81">
        <f t="shared" si="31"/>
        <v>1620.8878257286524</v>
      </c>
      <c r="N16" s="100">
        <f t="shared" si="31"/>
        <v>-2980.8160354765059</v>
      </c>
      <c r="O16" s="81">
        <f t="shared" si="31"/>
        <v>24675.79196184656</v>
      </c>
      <c r="P16" s="86">
        <f>(I$46*1000)-(P9-P11)</f>
        <v>42018.543974741246</v>
      </c>
      <c r="Q16" s="81">
        <f>($C$46*1000)-(Q9-Q11)</f>
        <v>803.83964589644484</v>
      </c>
      <c r="R16" s="81">
        <f>(D$46*1000)-(R9-R11)</f>
        <v>62.773606635651291</v>
      </c>
      <c r="S16" s="79">
        <f t="shared" ref="S16:W16" si="32">(E$46*1000)-(S9-S11)</f>
        <v>16256.691316541281</v>
      </c>
      <c r="T16" s="79">
        <f t="shared" si="32"/>
        <v>231.36468999125464</v>
      </c>
      <c r="U16" s="100">
        <f t="shared" si="32"/>
        <v>-2715.4532802277972</v>
      </c>
      <c r="V16" s="79">
        <f t="shared" si="32"/>
        <v>24315.975764313011</v>
      </c>
      <c r="W16" s="84">
        <f t="shared" si="32"/>
        <v>38552.261239023588</v>
      </c>
      <c r="X16" s="81">
        <f>($C$46*1000)-(X9-X11)</f>
        <v>739.54942732976679</v>
      </c>
      <c r="Y16" s="81">
        <f>(D$46*1000)-(Y9-Y11)</f>
        <v>54.849121755350822</v>
      </c>
      <c r="Z16" s="79">
        <f t="shared" ref="Z16:AD16" si="33">(E$46*1000)-(Z9-Z11)</f>
        <v>15396.109674625777</v>
      </c>
      <c r="AA16" s="99">
        <f t="shared" si="33"/>
        <v>-517.15461812451031</v>
      </c>
      <c r="AB16" s="100">
        <f t="shared" si="33"/>
        <v>-2683.5225884689589</v>
      </c>
      <c r="AC16" s="79">
        <f t="shared" si="33"/>
        <v>23757.981985963928</v>
      </c>
      <c r="AD16" s="84">
        <f t="shared" si="33"/>
        <v>36037.723537304104</v>
      </c>
      <c r="AE16" s="81">
        <f>(C$46*1000)-(AE9-AE11)</f>
        <v>701.60650451950414</v>
      </c>
      <c r="AF16" s="81">
        <f>(D$46*1000)-(AF9-AF11)</f>
        <v>49.179609824743487</v>
      </c>
      <c r="AG16" s="79">
        <f t="shared" ref="AG16:AK16" si="34">(E$46*1000)-(AG9-AG11)</f>
        <v>14698.818395978189</v>
      </c>
      <c r="AH16" s="100">
        <f t="shared" si="34"/>
        <v>-1018.8119107427356</v>
      </c>
      <c r="AI16" s="100">
        <f t="shared" si="34"/>
        <v>-2970.3168386206344</v>
      </c>
      <c r="AJ16" s="79">
        <f t="shared" si="34"/>
        <v>23220.192476689292</v>
      </c>
      <c r="AK16" s="84">
        <f t="shared" si="34"/>
        <v>33922.652880505906</v>
      </c>
    </row>
    <row r="17" spans="1:37" s="87" customFormat="1" x14ac:dyDescent="0.2">
      <c r="A17" s="87" t="s">
        <v>31</v>
      </c>
      <c r="B17" s="88"/>
      <c r="C17" s="87">
        <v>414.97</v>
      </c>
      <c r="D17" s="87">
        <v>60.64</v>
      </c>
      <c r="I17" s="88"/>
      <c r="J17" s="87">
        <f>C17</f>
        <v>414.97</v>
      </c>
      <c r="K17" s="87">
        <f>D17</f>
        <v>60.64</v>
      </c>
      <c r="P17" s="104"/>
      <c r="Q17" s="87">
        <f>C17</f>
        <v>414.97</v>
      </c>
      <c r="R17" s="89">
        <f>D17</f>
        <v>60.64</v>
      </c>
      <c r="W17" s="88"/>
      <c r="X17" s="87">
        <f>Q17</f>
        <v>414.97</v>
      </c>
      <c r="Y17" s="87">
        <f>D17</f>
        <v>60.64</v>
      </c>
      <c r="AD17" s="88"/>
      <c r="AE17" s="87">
        <f>X17</f>
        <v>414.97</v>
      </c>
      <c r="AF17" s="87">
        <f>D17</f>
        <v>60.64</v>
      </c>
      <c r="AK17" s="88"/>
    </row>
    <row r="18" spans="1:37" s="87" customFormat="1" x14ac:dyDescent="0.2">
      <c r="A18" s="87" t="s">
        <v>32</v>
      </c>
      <c r="B18" s="88"/>
      <c r="C18" s="90">
        <f>C16/C17</f>
        <v>2.0214994607072647</v>
      </c>
      <c r="D18" s="90">
        <f>D16/D17</f>
        <v>1.4600755850139449</v>
      </c>
      <c r="E18" s="90"/>
      <c r="F18" s="90"/>
      <c r="G18" s="90"/>
      <c r="H18" s="90"/>
      <c r="I18" s="91"/>
      <c r="J18" s="90">
        <f>J16/J17</f>
        <v>2.3313826110392193</v>
      </c>
      <c r="K18" s="90">
        <f t="shared" ref="K18:AF18" si="35">K16/K17</f>
        <v>1.2576398929404267</v>
      </c>
      <c r="L18" s="90"/>
      <c r="M18" s="90"/>
      <c r="N18" s="90"/>
      <c r="O18" s="90"/>
      <c r="P18" s="91"/>
      <c r="Q18" s="90">
        <f>Q16/Q17</f>
        <v>1.937103033704713</v>
      </c>
      <c r="R18" s="90">
        <f t="shared" si="35"/>
        <v>1.035184805996888</v>
      </c>
      <c r="S18" s="90"/>
      <c r="T18" s="90"/>
      <c r="U18" s="90"/>
      <c r="V18" s="90"/>
      <c r="W18" s="91"/>
      <c r="X18" s="90">
        <f>X16/X17</f>
        <v>1.7821756448171355</v>
      </c>
      <c r="Y18" s="92">
        <f t="shared" si="35"/>
        <v>0.9045039867307193</v>
      </c>
      <c r="Z18" s="93"/>
      <c r="AA18" s="93"/>
      <c r="AB18" s="93"/>
      <c r="AC18" s="93"/>
      <c r="AD18" s="94"/>
      <c r="AE18" s="122">
        <f>AE16/AE17</f>
        <v>1.6907403053702776</v>
      </c>
      <c r="AF18" s="92">
        <f t="shared" si="35"/>
        <v>0.81100939684603379</v>
      </c>
      <c r="AG18" s="90"/>
      <c r="AH18" s="90"/>
      <c r="AI18" s="90"/>
      <c r="AJ18" s="90"/>
      <c r="AK18" s="91"/>
    </row>
    <row r="19" spans="1:37" s="87" customFormat="1" x14ac:dyDescent="0.2">
      <c r="A19" s="87" t="s">
        <v>33</v>
      </c>
      <c r="B19" s="88"/>
      <c r="C19" s="95">
        <f>C18-1</f>
        <v>1.0214994607072647</v>
      </c>
      <c r="D19" s="95">
        <f>D18-1</f>
        <v>0.46007558501394485</v>
      </c>
      <c r="E19" s="95"/>
      <c r="F19" s="95"/>
      <c r="G19" s="95"/>
      <c r="H19" s="95"/>
      <c r="I19" s="96"/>
      <c r="J19" s="95">
        <f>J18-1</f>
        <v>1.3313826110392193</v>
      </c>
      <c r="K19" s="95">
        <f t="shared" ref="K19:AF19" si="36">K18-1</f>
        <v>0.25763989294042666</v>
      </c>
      <c r="L19" s="95"/>
      <c r="M19" s="95"/>
      <c r="N19" s="95"/>
      <c r="O19" s="95"/>
      <c r="P19" s="96"/>
      <c r="Q19" s="95">
        <f>Q18-1</f>
        <v>0.93710303370471304</v>
      </c>
      <c r="R19" s="95">
        <f t="shared" si="36"/>
        <v>3.5184805996888002E-2</v>
      </c>
      <c r="S19" s="95"/>
      <c r="T19" s="95"/>
      <c r="U19" s="95"/>
      <c r="V19" s="95"/>
      <c r="W19" s="96"/>
      <c r="X19" s="95">
        <f>X18-1</f>
        <v>0.78217564481713553</v>
      </c>
      <c r="Y19" s="95">
        <f t="shared" si="36"/>
        <v>-9.54960132692807E-2</v>
      </c>
      <c r="Z19" s="95"/>
      <c r="AA19" s="95"/>
      <c r="AB19" s="95"/>
      <c r="AC19" s="95"/>
      <c r="AD19" s="96"/>
      <c r="AE19" s="95">
        <f>AE18-1</f>
        <v>0.69074030537027764</v>
      </c>
      <c r="AF19" s="95">
        <f t="shared" si="36"/>
        <v>-0.18899060315396621</v>
      </c>
      <c r="AK19" s="88"/>
    </row>
    <row r="20" spans="1:37" s="77" customFormat="1" x14ac:dyDescent="0.2">
      <c r="A20" s="77" t="s">
        <v>34</v>
      </c>
      <c r="B20" s="78"/>
      <c r="C20" s="81">
        <f>C41*1000</f>
        <v>661.75774097023759</v>
      </c>
      <c r="D20" s="81">
        <f>D41*1000</f>
        <v>80.543858350961585</v>
      </c>
      <c r="E20" s="79">
        <f t="shared" ref="E20:I20" si="37">E41*1000</f>
        <v>10065.231834537241</v>
      </c>
      <c r="F20" s="79">
        <f t="shared" si="37"/>
        <v>7844.3200608412408</v>
      </c>
      <c r="G20" s="79">
        <f t="shared" si="37"/>
        <v>7986.1291835591537</v>
      </c>
      <c r="H20" s="79">
        <f t="shared" si="37"/>
        <v>17697.469931990363</v>
      </c>
      <c r="I20" s="84">
        <f t="shared" si="37"/>
        <v>44335.452610249209</v>
      </c>
      <c r="J20" s="81">
        <v>661.75774097023759</v>
      </c>
      <c r="K20" s="81">
        <v>80.543858350961585</v>
      </c>
      <c r="L20" s="81">
        <v>10065.231834537241</v>
      </c>
      <c r="M20" s="81">
        <v>7844.3200608412408</v>
      </c>
      <c r="N20" s="81">
        <v>7986.1291835591537</v>
      </c>
      <c r="O20" s="81">
        <v>17697.469931990363</v>
      </c>
      <c r="P20" s="86">
        <v>44335.452610249209</v>
      </c>
      <c r="Q20" s="81">
        <v>661.75774097023759</v>
      </c>
      <c r="R20" s="81">
        <v>80.543858350961585</v>
      </c>
      <c r="S20" s="81">
        <v>10065.231834537241</v>
      </c>
      <c r="T20" s="81">
        <v>7844.3200608412408</v>
      </c>
      <c r="U20" s="81">
        <v>7986.1291835591537</v>
      </c>
      <c r="V20" s="81">
        <v>17697.469931990363</v>
      </c>
      <c r="W20" s="86">
        <v>44335.452610249209</v>
      </c>
      <c r="X20" s="81">
        <v>661.75774097023759</v>
      </c>
      <c r="Y20" s="81">
        <v>80.543858350961585</v>
      </c>
      <c r="Z20" s="81">
        <v>10065.231834537241</v>
      </c>
      <c r="AA20" s="81">
        <v>7844.3200608412408</v>
      </c>
      <c r="AB20" s="81">
        <v>7986.1291835591537</v>
      </c>
      <c r="AC20" s="81">
        <v>17697.469931990363</v>
      </c>
      <c r="AD20" s="86">
        <v>44335.452610249209</v>
      </c>
      <c r="AE20" s="81">
        <v>661.75774097023759</v>
      </c>
      <c r="AF20" s="81">
        <v>80.543858350961585</v>
      </c>
      <c r="AG20" s="81">
        <v>10065.231834537241</v>
      </c>
      <c r="AH20" s="81">
        <v>7844.3200608412408</v>
      </c>
      <c r="AI20" s="81">
        <v>7986.1291835591537</v>
      </c>
      <c r="AJ20" s="81">
        <v>17697.469931990363</v>
      </c>
      <c r="AK20" s="86">
        <v>44335.452610249209</v>
      </c>
    </row>
    <row r="21" spans="1:37" s="77" customFormat="1" x14ac:dyDescent="0.2">
      <c r="A21" s="77" t="s">
        <v>35</v>
      </c>
      <c r="B21" s="78"/>
      <c r="C21" s="82">
        <f>C16/C20</f>
        <v>1.2676264730651958</v>
      </c>
      <c r="D21" s="82">
        <f t="shared" ref="D21:I21" si="38">D16/D20</f>
        <v>1.0992642429599795</v>
      </c>
      <c r="E21" s="82">
        <f t="shared" si="38"/>
        <v>2.2591178837506356</v>
      </c>
      <c r="F21" s="82">
        <f t="shared" si="38"/>
        <v>1.0573980317636826</v>
      </c>
      <c r="G21" s="82">
        <f t="shared" si="38"/>
        <v>1.0195654804805747</v>
      </c>
      <c r="H21" s="82">
        <f t="shared" si="38"/>
        <v>1.5024695274948423</v>
      </c>
      <c r="I21" s="83">
        <f t="shared" si="38"/>
        <v>1.5042770840781186</v>
      </c>
      <c r="J21" s="82">
        <f>J16/J20</f>
        <v>1.4619456369101329</v>
      </c>
      <c r="K21" s="82">
        <f t="shared" ref="K21" si="39">K16/K20</f>
        <v>0.94685410743048903</v>
      </c>
      <c r="L21" s="82">
        <f t="shared" ref="L21" si="40">L16/L20</f>
        <v>1.7375262635929583</v>
      </c>
      <c r="M21" s="82">
        <f t="shared" ref="M21" si="41">M16/M20</f>
        <v>0.2066320360664663</v>
      </c>
      <c r="N21" s="82">
        <f t="shared" ref="N21" si="42">N16/N20</f>
        <v>-0.37324916326335394</v>
      </c>
      <c r="O21" s="82">
        <f t="shared" ref="O21" si="43">O16/O20</f>
        <v>1.3943118455165175</v>
      </c>
      <c r="P21" s="83">
        <f t="shared" ref="P21" si="44">P16/P20</f>
        <v>0.94774140108874505</v>
      </c>
      <c r="Q21" s="82">
        <f>Q16/Q20</f>
        <v>1.2147038049270018</v>
      </c>
      <c r="R21" s="82">
        <f t="shared" ref="R21" si="45">R16/R20</f>
        <v>0.77937173511258617</v>
      </c>
      <c r="S21" s="82">
        <f t="shared" ref="S21" si="46">S16/S20</f>
        <v>1.615133320700973</v>
      </c>
      <c r="T21" s="82">
        <f t="shared" ref="T21" si="47">T16/T20</f>
        <v>2.949454996695311E-2</v>
      </c>
      <c r="U21" s="82">
        <f t="shared" ref="U21" si="48">U16/U20</f>
        <v>-0.34002120649613754</v>
      </c>
      <c r="V21" s="82">
        <f t="shared" ref="V21" si="49">V16/V20</f>
        <v>1.3739803405660196</v>
      </c>
      <c r="W21" s="83">
        <f t="shared" ref="W21" si="50">W16/W20</f>
        <v>0.86955830986850702</v>
      </c>
      <c r="X21" s="82">
        <f>X16/X20</f>
        <v>1.117553118827858</v>
      </c>
      <c r="Y21" s="82">
        <f t="shared" ref="Y21" si="51">Y16/Y20</f>
        <v>0.68098453287836558</v>
      </c>
      <c r="Z21" s="82">
        <f t="shared" ref="Z21" si="52">Z16/Z20</f>
        <v>1.5296328914945088</v>
      </c>
      <c r="AA21" s="82">
        <f t="shared" ref="AA21" si="53">AA16/AA20</f>
        <v>-6.5927271466922982E-2</v>
      </c>
      <c r="AB21" s="82">
        <f t="shared" ref="AB21" si="54">AB16/AB20</f>
        <v>-0.33602293761957425</v>
      </c>
      <c r="AC21" s="82">
        <f t="shared" ref="AC21" si="55">AC16/AC20</f>
        <v>1.3424507614514118</v>
      </c>
      <c r="AD21" s="83">
        <f t="shared" ref="AD21" si="56">AD16/AD20</f>
        <v>0.81284212555829682</v>
      </c>
      <c r="AE21" s="82">
        <f>AE16/AE20</f>
        <v>1.0602165431277648</v>
      </c>
      <c r="AF21" s="82">
        <f t="shared" ref="AF21" si="57">AF16/AF20</f>
        <v>0.61059416362261154</v>
      </c>
      <c r="AG21" s="82">
        <f t="shared" ref="AG21" si="58">AG16/AG20</f>
        <v>1.4603556716439987</v>
      </c>
      <c r="AH21" s="82">
        <f t="shared" ref="AH21" si="59">AH16/AH20</f>
        <v>-0.12987893186926849</v>
      </c>
      <c r="AI21" s="82">
        <f t="shared" ref="AI21" si="60">AI16/AI20</f>
        <v>-0.37193448419736963</v>
      </c>
      <c r="AJ21" s="82">
        <f t="shared" ref="AJ21" si="61">AJ16/AJ20</f>
        <v>1.3120628296543071</v>
      </c>
      <c r="AK21" s="83">
        <f t="shared" ref="AK21" si="62">AK16/AK20</f>
        <v>0.76513604538377633</v>
      </c>
    </row>
    <row r="22" spans="1:37" s="77" customFormat="1" x14ac:dyDescent="0.2">
      <c r="A22" s="77" t="s">
        <v>36</v>
      </c>
      <c r="B22" s="78"/>
      <c r="C22" s="82">
        <f>C21-1</f>
        <v>0.26762647306519582</v>
      </c>
      <c r="D22" s="82">
        <f t="shared" ref="D22:AK22" si="63">D21-1</f>
        <v>9.9264242959979487E-2</v>
      </c>
      <c r="E22" s="82">
        <f t="shared" si="63"/>
        <v>1.2591178837506356</v>
      </c>
      <c r="F22" s="82">
        <f t="shared" si="63"/>
        <v>5.7398031763682633E-2</v>
      </c>
      <c r="G22" s="82">
        <f t="shared" si="63"/>
        <v>1.9565480480574715E-2</v>
      </c>
      <c r="H22" s="82">
        <f t="shared" si="63"/>
        <v>0.50246952749484231</v>
      </c>
      <c r="I22" s="83">
        <f t="shared" si="63"/>
        <v>0.50427708407811855</v>
      </c>
      <c r="J22" s="82">
        <f t="shared" si="63"/>
        <v>0.46194563691013291</v>
      </c>
      <c r="K22" s="82">
        <f t="shared" si="63"/>
        <v>-5.3145892569510966E-2</v>
      </c>
      <c r="L22" s="82">
        <f t="shared" si="63"/>
        <v>0.73752626359295825</v>
      </c>
      <c r="M22" s="82">
        <f t="shared" si="63"/>
        <v>-0.7933679639335337</v>
      </c>
      <c r="N22" s="82">
        <f t="shared" si="63"/>
        <v>-1.3732491632633539</v>
      </c>
      <c r="O22" s="82">
        <f t="shared" si="63"/>
        <v>0.39431184551651755</v>
      </c>
      <c r="P22" s="83">
        <f t="shared" si="63"/>
        <v>-5.225859891125495E-2</v>
      </c>
      <c r="Q22" s="82">
        <f t="shared" si="63"/>
        <v>0.21470380492700181</v>
      </c>
      <c r="R22" s="82">
        <f t="shared" si="63"/>
        <v>-0.22062826488741383</v>
      </c>
      <c r="S22" s="82">
        <f t="shared" si="63"/>
        <v>0.61513332070097304</v>
      </c>
      <c r="T22" s="82">
        <f t="shared" si="63"/>
        <v>-0.97050545003304689</v>
      </c>
      <c r="U22" s="82">
        <f t="shared" si="63"/>
        <v>-1.3400212064961377</v>
      </c>
      <c r="V22" s="82">
        <f t="shared" si="63"/>
        <v>0.37398034056601959</v>
      </c>
      <c r="W22" s="83">
        <f t="shared" si="63"/>
        <v>-0.13044169013149298</v>
      </c>
      <c r="X22" s="82">
        <f t="shared" si="63"/>
        <v>0.11755311882785802</v>
      </c>
      <c r="Y22" s="82">
        <f t="shared" si="63"/>
        <v>-0.31901546712163442</v>
      </c>
      <c r="Z22" s="82">
        <f t="shared" si="63"/>
        <v>0.52963289149450876</v>
      </c>
      <c r="AA22" s="82">
        <f t="shared" si="63"/>
        <v>-1.065927271466923</v>
      </c>
      <c r="AB22" s="82">
        <f t="shared" si="63"/>
        <v>-1.3360229376195742</v>
      </c>
      <c r="AC22" s="82">
        <f t="shared" si="63"/>
        <v>0.34245076145141184</v>
      </c>
      <c r="AD22" s="83">
        <f t="shared" si="63"/>
        <v>-0.18715787444170318</v>
      </c>
      <c r="AE22" s="82">
        <f t="shared" si="63"/>
        <v>6.021654312776481E-2</v>
      </c>
      <c r="AF22" s="82">
        <f t="shared" si="63"/>
        <v>-0.38940583637738846</v>
      </c>
      <c r="AG22" s="82">
        <f t="shared" si="63"/>
        <v>0.46035567164399871</v>
      </c>
      <c r="AH22" s="82">
        <f t="shared" si="63"/>
        <v>-1.1298789318692686</v>
      </c>
      <c r="AI22" s="82">
        <f t="shared" si="63"/>
        <v>-1.3719344841973697</v>
      </c>
      <c r="AJ22" s="82">
        <f t="shared" si="63"/>
        <v>0.31206282965430709</v>
      </c>
      <c r="AK22" s="83">
        <f t="shared" si="63"/>
        <v>-0.23486395461622367</v>
      </c>
    </row>
    <row r="23" spans="1:37" x14ac:dyDescent="0.2">
      <c r="R23" s="59"/>
    </row>
    <row r="24" spans="1:37" x14ac:dyDescent="0.2">
      <c r="A24" s="8" t="s">
        <v>37</v>
      </c>
    </row>
    <row r="25" spans="1:37" x14ac:dyDescent="0.2">
      <c r="C25" t="s">
        <v>1</v>
      </c>
      <c r="D25" t="s">
        <v>2</v>
      </c>
      <c r="E25" t="s">
        <v>3</v>
      </c>
      <c r="F25" t="s">
        <v>4</v>
      </c>
      <c r="G25" t="s">
        <v>5</v>
      </c>
      <c r="H25" t="s">
        <v>6</v>
      </c>
      <c r="I25" s="18" t="s">
        <v>7</v>
      </c>
      <c r="J25" t="s">
        <v>1</v>
      </c>
      <c r="K25" t="s">
        <v>2</v>
      </c>
      <c r="L25" t="s">
        <v>3</v>
      </c>
      <c r="M25" t="s">
        <v>4</v>
      </c>
      <c r="N25" t="s">
        <v>5</v>
      </c>
      <c r="O25" t="s">
        <v>6</v>
      </c>
      <c r="P25" s="18" t="s">
        <v>7</v>
      </c>
      <c r="Q25" t="s">
        <v>1</v>
      </c>
      <c r="R25" t="s">
        <v>2</v>
      </c>
      <c r="S25" t="s">
        <v>3</v>
      </c>
      <c r="T25" t="s">
        <v>4</v>
      </c>
      <c r="U25" t="s">
        <v>5</v>
      </c>
      <c r="V25" t="s">
        <v>6</v>
      </c>
      <c r="W25" s="18" t="s">
        <v>7</v>
      </c>
      <c r="X25" t="s">
        <v>1</v>
      </c>
      <c r="Y25" t="s">
        <v>2</v>
      </c>
      <c r="Z25" t="s">
        <v>3</v>
      </c>
      <c r="AA25" t="s">
        <v>4</v>
      </c>
      <c r="AB25" t="s">
        <v>5</v>
      </c>
      <c r="AC25" t="s">
        <v>6</v>
      </c>
      <c r="AD25" s="18" t="s">
        <v>7</v>
      </c>
      <c r="AE25" t="s">
        <v>1</v>
      </c>
      <c r="AF25" t="s">
        <v>2</v>
      </c>
      <c r="AG25" t="s">
        <v>3</v>
      </c>
      <c r="AH25" t="s">
        <v>4</v>
      </c>
      <c r="AI25" t="s">
        <v>5</v>
      </c>
      <c r="AJ25" t="s">
        <v>6</v>
      </c>
      <c r="AK25" s="18" t="s">
        <v>7</v>
      </c>
    </row>
    <row r="26" spans="1:37" s="1" customFormat="1" ht="25.5" x14ac:dyDescent="0.2">
      <c r="A26" s="1" t="s">
        <v>38</v>
      </c>
      <c r="B26" s="68"/>
      <c r="C26" s="1" t="s">
        <v>39</v>
      </c>
      <c r="D26" s="1" t="s">
        <v>39</v>
      </c>
      <c r="E26" s="1" t="s">
        <v>39</v>
      </c>
      <c r="F26" s="1" t="s">
        <v>39</v>
      </c>
      <c r="G26" s="1" t="s">
        <v>39</v>
      </c>
      <c r="H26" s="1" t="s">
        <v>39</v>
      </c>
      <c r="I26" s="68" t="s">
        <v>39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1" t="s">
        <v>40</v>
      </c>
      <c r="P26" s="68" t="s">
        <v>40</v>
      </c>
      <c r="Q26" s="1" t="s">
        <v>41</v>
      </c>
      <c r="R26" s="1" t="s">
        <v>41</v>
      </c>
      <c r="S26" s="1" t="s">
        <v>41</v>
      </c>
      <c r="T26" s="1" t="s">
        <v>41</v>
      </c>
      <c r="U26" s="1" t="s">
        <v>41</v>
      </c>
      <c r="V26" s="1" t="s">
        <v>41</v>
      </c>
      <c r="W26" s="68" t="s">
        <v>41</v>
      </c>
      <c r="X26" s="1" t="s">
        <v>42</v>
      </c>
      <c r="Y26" s="1" t="s">
        <v>42</v>
      </c>
      <c r="Z26" s="1" t="s">
        <v>42</v>
      </c>
      <c r="AA26" s="1" t="s">
        <v>42</v>
      </c>
      <c r="AB26" s="1" t="s">
        <v>42</v>
      </c>
      <c r="AC26" s="1" t="s">
        <v>42</v>
      </c>
      <c r="AD26" s="68" t="s">
        <v>42</v>
      </c>
      <c r="AE26" s="1" t="s">
        <v>43</v>
      </c>
      <c r="AF26" s="1" t="s">
        <v>43</v>
      </c>
      <c r="AG26" s="1" t="s">
        <v>43</v>
      </c>
      <c r="AH26" s="1" t="s">
        <v>43</v>
      </c>
      <c r="AI26" s="1" t="s">
        <v>43</v>
      </c>
      <c r="AJ26" s="1" t="s">
        <v>43</v>
      </c>
      <c r="AK26" s="68" t="s">
        <v>43</v>
      </c>
    </row>
    <row r="27" spans="1:37" x14ac:dyDescent="0.2">
      <c r="A27">
        <v>2007</v>
      </c>
      <c r="C27">
        <v>128.04156</v>
      </c>
      <c r="D27" s="52">
        <v>20.063700000000001</v>
      </c>
      <c r="E27" s="53">
        <v>517.68881999999996</v>
      </c>
      <c r="F27" s="53">
        <v>2429.4411</v>
      </c>
      <c r="G27" s="53">
        <v>3407.8595400000004</v>
      </c>
      <c r="H27" s="53">
        <v>1628.2927800000002</v>
      </c>
      <c r="I27" s="69">
        <v>8131.4231400000008</v>
      </c>
      <c r="J27" s="53">
        <v>127.99296</v>
      </c>
      <c r="K27" s="52">
        <v>20.060459999999999</v>
      </c>
      <c r="L27" s="53">
        <v>517.39721999999995</v>
      </c>
      <c r="M27" s="53">
        <v>2429.1414000000004</v>
      </c>
      <c r="N27" s="53">
        <v>3735.9500400000002</v>
      </c>
      <c r="O27" s="53">
        <v>1628.6346000000001</v>
      </c>
      <c r="P27" s="69">
        <v>8459.2058400000005</v>
      </c>
      <c r="Q27" s="53">
        <v>127.98486000000001</v>
      </c>
      <c r="R27" s="52">
        <v>20.060459999999999</v>
      </c>
      <c r="S27" s="53">
        <v>517.40045999999995</v>
      </c>
      <c r="T27" s="53">
        <v>2429.1219600000004</v>
      </c>
      <c r="U27" s="53">
        <v>3735.7880399999999</v>
      </c>
      <c r="V27" s="53">
        <v>1628.6103000000003</v>
      </c>
      <c r="W27" s="69">
        <v>8458.9952400000002</v>
      </c>
      <c r="X27" s="53">
        <v>127.97351999999999</v>
      </c>
      <c r="Y27" s="52">
        <v>20.05884</v>
      </c>
      <c r="Z27" s="53">
        <v>517.40370000000007</v>
      </c>
      <c r="AA27" s="53">
        <v>2429.0992799999999</v>
      </c>
      <c r="AB27" s="53">
        <v>3735.6373800000006</v>
      </c>
      <c r="AC27" s="53">
        <v>1628.5892400000002</v>
      </c>
      <c r="AD27" s="69">
        <v>8458.7911199999999</v>
      </c>
      <c r="AE27" s="53">
        <v>127.95732000000001</v>
      </c>
      <c r="AF27" s="52">
        <v>20.05884</v>
      </c>
      <c r="AG27">
        <v>517.41179999999997</v>
      </c>
      <c r="AH27">
        <v>2429.0782200000003</v>
      </c>
      <c r="AI27">
        <v>3735.4932000000003</v>
      </c>
      <c r="AJ27">
        <v>1628.5665600000002</v>
      </c>
      <c r="AK27" s="18">
        <v>8458.5951000000005</v>
      </c>
    </row>
    <row r="28" spans="1:37" x14ac:dyDescent="0.2">
      <c r="A28">
        <v>2012</v>
      </c>
      <c r="C28">
        <v>139.65372000000002</v>
      </c>
      <c r="D28" s="52">
        <v>22.867920000000002</v>
      </c>
      <c r="E28" s="53">
        <v>738.02340000000004</v>
      </c>
      <c r="F28" s="53">
        <v>2672.3536200000003</v>
      </c>
      <c r="G28" s="53">
        <v>3744.0403200000001</v>
      </c>
      <c r="H28" s="53">
        <v>1885.1761800000002</v>
      </c>
      <c r="I28" s="69">
        <v>9201.7587600000006</v>
      </c>
      <c r="J28" s="53">
        <v>139.78332</v>
      </c>
      <c r="K28" s="52">
        <v>22.8582</v>
      </c>
      <c r="L28" s="53">
        <v>744.47910000000002</v>
      </c>
      <c r="M28" s="53">
        <v>2676.06828</v>
      </c>
      <c r="N28" s="53">
        <v>3855.6064799999999</v>
      </c>
      <c r="O28" s="53">
        <v>1891.9105200000001</v>
      </c>
      <c r="P28" s="69">
        <v>9330.4224000000013</v>
      </c>
      <c r="Q28" s="53">
        <v>139.73148</v>
      </c>
      <c r="R28" s="52">
        <v>22.850100000000001</v>
      </c>
      <c r="S28" s="53">
        <v>743.68368000000009</v>
      </c>
      <c r="T28" s="53">
        <v>2675.6827200000002</v>
      </c>
      <c r="U28" s="53">
        <v>3855.09618</v>
      </c>
      <c r="V28" s="53">
        <v>1889.9098200000003</v>
      </c>
      <c r="W28" s="69">
        <v>9326.6720999999998</v>
      </c>
      <c r="X28" s="53">
        <v>139.6764</v>
      </c>
      <c r="Y28" s="52">
        <v>22.843620000000001</v>
      </c>
      <c r="Z28" s="53">
        <v>742.78134</v>
      </c>
      <c r="AA28" s="53">
        <v>2675.2809600000001</v>
      </c>
      <c r="AB28" s="53">
        <v>3854.5372800000005</v>
      </c>
      <c r="AC28" s="53">
        <v>1888.1650800000002</v>
      </c>
      <c r="AD28" s="69">
        <v>9323.0044200000011</v>
      </c>
      <c r="AE28" s="53">
        <v>139.61322000000001</v>
      </c>
      <c r="AF28" s="52">
        <v>22.837140000000002</v>
      </c>
      <c r="AG28">
        <v>741.98105999999996</v>
      </c>
      <c r="AH28">
        <v>2674.7528400000006</v>
      </c>
      <c r="AI28">
        <v>3853.9994400000005</v>
      </c>
      <c r="AJ28">
        <v>1886.5564200000001</v>
      </c>
      <c r="AK28" s="18">
        <v>9319.4598600000008</v>
      </c>
    </row>
    <row r="29" spans="1:37" x14ac:dyDescent="0.2">
      <c r="A29">
        <v>2017</v>
      </c>
      <c r="C29">
        <v>152.73684</v>
      </c>
      <c r="D29" s="52">
        <v>25.808219999999999</v>
      </c>
      <c r="E29" s="53">
        <v>1028.4084000000003</v>
      </c>
      <c r="F29" s="53">
        <v>2938.6297800000002</v>
      </c>
      <c r="G29" s="53">
        <v>4190.7909600000003</v>
      </c>
      <c r="H29" s="53">
        <v>2166.5556000000001</v>
      </c>
      <c r="I29" s="69">
        <v>10502.425980000002</v>
      </c>
      <c r="J29" s="53">
        <v>152.99280000000002</v>
      </c>
      <c r="K29" s="52">
        <v>25.785540000000001</v>
      </c>
      <c r="L29" s="53">
        <v>1037.3961600000002</v>
      </c>
      <c r="M29" s="53">
        <v>2944.1961000000001</v>
      </c>
      <c r="N29" s="53">
        <v>4262.4257400000006</v>
      </c>
      <c r="O29" s="53">
        <v>2172.4475400000001</v>
      </c>
      <c r="P29" s="69">
        <v>10594.8891</v>
      </c>
      <c r="Q29" s="53">
        <v>152.85996000000003</v>
      </c>
      <c r="R29" s="52">
        <v>25.772580000000001</v>
      </c>
      <c r="S29" s="53">
        <v>1033.89858</v>
      </c>
      <c r="T29" s="53">
        <v>2942.4821400000001</v>
      </c>
      <c r="U29" s="53">
        <v>4261.3921800000007</v>
      </c>
      <c r="V29" s="53">
        <v>2167.3818000000001</v>
      </c>
      <c r="W29" s="69">
        <v>10583.437320000001</v>
      </c>
      <c r="X29" s="53">
        <v>152.67042000000001</v>
      </c>
      <c r="Y29" s="52">
        <v>25.75638</v>
      </c>
      <c r="Z29" s="53">
        <v>1031.3600400000003</v>
      </c>
      <c r="AA29" s="53">
        <v>2941.1407800000002</v>
      </c>
      <c r="AB29" s="53">
        <v>4259.9487600000002</v>
      </c>
      <c r="AC29" s="53">
        <v>2162.3193000000001</v>
      </c>
      <c r="AD29" s="69">
        <v>10572.853860000001</v>
      </c>
      <c r="AE29" s="53">
        <v>152.48088000000001</v>
      </c>
      <c r="AF29" s="52">
        <v>25.738560000000003</v>
      </c>
      <c r="AG29">
        <v>1029.0499200000002</v>
      </c>
      <c r="AH29">
        <v>2940.3729000000003</v>
      </c>
      <c r="AI29">
        <v>4258.5490799999998</v>
      </c>
      <c r="AJ29">
        <v>2157.3232200000002</v>
      </c>
      <c r="AK29" s="18">
        <v>10563.184080000001</v>
      </c>
    </row>
    <row r="30" spans="1:37" x14ac:dyDescent="0.2">
      <c r="A30">
        <v>2022</v>
      </c>
      <c r="C30">
        <v>167.03820000000002</v>
      </c>
      <c r="D30" s="52">
        <v>28.848960000000002</v>
      </c>
      <c r="E30" s="53">
        <v>1392.5374200000001</v>
      </c>
      <c r="F30" s="53">
        <v>3221.3084400000002</v>
      </c>
      <c r="G30" s="53">
        <v>4615.2422999999999</v>
      </c>
      <c r="H30" s="53">
        <v>2488.239</v>
      </c>
      <c r="I30" s="69">
        <v>11912.687820000001</v>
      </c>
      <c r="J30" s="53">
        <v>166.3254</v>
      </c>
      <c r="K30" s="52">
        <v>28.764720000000001</v>
      </c>
      <c r="L30" s="53">
        <v>1390.3018200000001</v>
      </c>
      <c r="M30" s="53">
        <v>3220.86294</v>
      </c>
      <c r="N30" s="53">
        <v>4660.7270400000007</v>
      </c>
      <c r="O30" s="53">
        <v>2474.0364600000003</v>
      </c>
      <c r="P30" s="69">
        <v>11940.683040000002</v>
      </c>
      <c r="Q30" s="53">
        <v>165.87828000000002</v>
      </c>
      <c r="R30" s="52">
        <v>28.708020000000001</v>
      </c>
      <c r="S30" s="53">
        <v>1380.2967000000001</v>
      </c>
      <c r="T30" s="53">
        <v>3217.3799400000003</v>
      </c>
      <c r="U30" s="53">
        <v>4656.0031200000003</v>
      </c>
      <c r="V30" s="53">
        <v>2456.1095399999999</v>
      </c>
      <c r="W30" s="69">
        <v>11904.06294</v>
      </c>
      <c r="X30" s="53">
        <v>165.64338000000001</v>
      </c>
      <c r="Y30" s="52">
        <v>28.65456</v>
      </c>
      <c r="Z30" s="53">
        <v>1370.68524</v>
      </c>
      <c r="AA30" s="53">
        <v>3214.4509800000001</v>
      </c>
      <c r="AB30" s="53">
        <v>4650.9309000000003</v>
      </c>
      <c r="AC30" s="53">
        <v>2438.5860000000002</v>
      </c>
      <c r="AD30" s="69">
        <v>11868.66108</v>
      </c>
      <c r="AE30" s="53">
        <v>165.38580000000002</v>
      </c>
      <c r="AF30" s="52">
        <v>28.602720000000001</v>
      </c>
      <c r="AG30">
        <v>1361.3572800000002</v>
      </c>
      <c r="AH30">
        <v>3211.7326200000002</v>
      </c>
      <c r="AI30">
        <v>4646.26206</v>
      </c>
      <c r="AJ30">
        <v>2421.3540600000001</v>
      </c>
      <c r="AK30" s="18">
        <v>11834.42562</v>
      </c>
    </row>
    <row r="31" spans="1:37" x14ac:dyDescent="0.2">
      <c r="A31">
        <v>2027</v>
      </c>
      <c r="C31">
        <v>182.40390000000002</v>
      </c>
      <c r="D31" s="52">
        <v>31.962600000000002</v>
      </c>
      <c r="E31" s="53">
        <v>1818.2896200000002</v>
      </c>
      <c r="F31" s="53">
        <v>3514.4506800000004</v>
      </c>
      <c r="G31" s="53">
        <v>5027.2698600000003</v>
      </c>
      <c r="H31" s="53">
        <v>2838.7081800000001</v>
      </c>
      <c r="I31" s="69">
        <v>13412.619900000002</v>
      </c>
      <c r="J31" s="53">
        <v>180.86976000000001</v>
      </c>
      <c r="K31" s="52">
        <v>31.80546</v>
      </c>
      <c r="L31" s="53">
        <v>1795.8753000000002</v>
      </c>
      <c r="M31" s="53">
        <v>3510.2160000000003</v>
      </c>
      <c r="N31" s="53">
        <v>5053.2481800000005</v>
      </c>
      <c r="O31" s="53">
        <v>2798.8756200000003</v>
      </c>
      <c r="P31" s="69">
        <v>13370.603580000003</v>
      </c>
      <c r="Q31" s="53">
        <v>180.45666</v>
      </c>
      <c r="R31" s="52">
        <v>31.714740000000006</v>
      </c>
      <c r="S31" s="53">
        <v>1776.67668</v>
      </c>
      <c r="T31" s="53">
        <v>3505.4288999999999</v>
      </c>
      <c r="U31" s="53">
        <v>5044.1599800000004</v>
      </c>
      <c r="V31" s="53">
        <v>2766.8870999999999</v>
      </c>
      <c r="W31" s="69">
        <v>13305.072960000001</v>
      </c>
      <c r="X31" s="53">
        <v>179.9982</v>
      </c>
      <c r="Y31" s="52">
        <v>31.628880000000002</v>
      </c>
      <c r="Z31" s="53">
        <v>1758.0499199999999</v>
      </c>
      <c r="AA31" s="53">
        <v>3500.6823000000004</v>
      </c>
      <c r="AB31" s="53">
        <v>5034.9211200000009</v>
      </c>
      <c r="AC31" s="53">
        <v>2735.4915000000001</v>
      </c>
      <c r="AD31" s="69">
        <v>13240.551600000001</v>
      </c>
      <c r="AE31" s="53">
        <v>179.51544000000001</v>
      </c>
      <c r="AF31" s="52">
        <v>31.543020000000002</v>
      </c>
      <c r="AG31">
        <v>1739.9950200000001</v>
      </c>
      <c r="AH31">
        <v>3495.9907800000001</v>
      </c>
      <c r="AI31">
        <v>5028.1997400000009</v>
      </c>
      <c r="AJ31">
        <v>2704.6143000000002</v>
      </c>
      <c r="AK31" s="18">
        <v>13179.67362</v>
      </c>
    </row>
    <row r="32" spans="1:37" x14ac:dyDescent="0.2">
      <c r="A32">
        <v>2032</v>
      </c>
      <c r="C32" s="65">
        <v>198.36090000000002</v>
      </c>
      <c r="D32" s="55">
        <v>35.013060000000003</v>
      </c>
      <c r="E32" s="66">
        <v>2270.4024600000002</v>
      </c>
      <c r="F32" s="66">
        <v>3805.3962000000006</v>
      </c>
      <c r="G32" s="66">
        <v>5430.5186400000002</v>
      </c>
      <c r="H32" s="66">
        <v>3163.1002200000003</v>
      </c>
      <c r="I32" s="70">
        <v>14902.480440000001</v>
      </c>
      <c r="J32" s="53">
        <v>196.17876000000001</v>
      </c>
      <c r="K32" s="52">
        <v>34.854300000000002</v>
      </c>
      <c r="L32" s="53">
        <v>2229.0082200000002</v>
      </c>
      <c r="M32" s="53">
        <v>3803.5753200000004</v>
      </c>
      <c r="N32" s="53">
        <v>5447.7813599999999</v>
      </c>
      <c r="O32" s="53">
        <v>3117.5847000000003</v>
      </c>
      <c r="P32" s="69">
        <v>14827.968037800001</v>
      </c>
      <c r="Q32" s="53">
        <v>195.61338000000001</v>
      </c>
      <c r="R32" s="52">
        <v>34.755480000000006</v>
      </c>
      <c r="S32" s="53">
        <v>2203.6438800000001</v>
      </c>
      <c r="T32" s="53">
        <v>3798.6780600000002</v>
      </c>
      <c r="U32" s="53">
        <v>5437.2481200000002</v>
      </c>
      <c r="V32" s="53">
        <v>3081.1978800000002</v>
      </c>
      <c r="W32" s="69">
        <v>14753.455635600001</v>
      </c>
      <c r="X32" s="53">
        <v>194.99292000000003</v>
      </c>
      <c r="Y32" s="52">
        <v>34.658279999999998</v>
      </c>
      <c r="Z32" s="53">
        <v>2178.5436</v>
      </c>
      <c r="AA32" s="53">
        <v>3793.5734400000001</v>
      </c>
      <c r="AB32" s="53">
        <v>5426.4961800000001</v>
      </c>
      <c r="AC32" s="53">
        <v>3044.8969200000001</v>
      </c>
      <c r="AD32" s="69">
        <v>14678.943233400001</v>
      </c>
      <c r="AE32" s="53">
        <v>194.38218000000003</v>
      </c>
      <c r="AF32" s="52">
        <v>34.564320000000002</v>
      </c>
      <c r="AG32">
        <v>2154.0556799999999</v>
      </c>
      <c r="AH32">
        <v>3788.6162400000003</v>
      </c>
      <c r="AI32">
        <v>5416.5250800000003</v>
      </c>
      <c r="AJ32">
        <v>3008.4890400000004</v>
      </c>
      <c r="AK32" s="18">
        <v>14604.430831200001</v>
      </c>
    </row>
    <row r="33" spans="1:37" x14ac:dyDescent="0.2">
      <c r="A33">
        <v>2037</v>
      </c>
      <c r="C33">
        <v>214.83306000000002</v>
      </c>
      <c r="D33" s="52">
        <v>38.052180000000007</v>
      </c>
      <c r="E33" s="53">
        <v>2740.6317600000002</v>
      </c>
      <c r="F33" s="53">
        <v>4099.2755400000005</v>
      </c>
      <c r="G33" s="53">
        <v>5828.8037400000003</v>
      </c>
      <c r="H33" s="53">
        <v>3477.2619600000003</v>
      </c>
      <c r="I33" s="69">
        <v>16398.657360000001</v>
      </c>
      <c r="J33" s="53">
        <v>211.84416000000002</v>
      </c>
      <c r="K33" s="52">
        <v>37.880459999999999</v>
      </c>
      <c r="L33" s="53">
        <v>2670.9993000000004</v>
      </c>
      <c r="M33" s="53">
        <v>4098.3553800000009</v>
      </c>
      <c r="N33" s="53">
        <v>5834.4996600000004</v>
      </c>
      <c r="O33" s="53">
        <v>3420.3886200000006</v>
      </c>
      <c r="P33" s="69">
        <v>16273.664640000001</v>
      </c>
      <c r="Q33" s="53">
        <v>211.13136000000003</v>
      </c>
      <c r="R33" s="52">
        <v>37.771920000000001</v>
      </c>
      <c r="S33" s="53">
        <v>2640.0168000000003</v>
      </c>
      <c r="T33" s="53">
        <v>4093.1892000000003</v>
      </c>
      <c r="U33" s="53">
        <v>5822.3075399999998</v>
      </c>
      <c r="V33" s="53">
        <v>3380.4199800000006</v>
      </c>
      <c r="W33" s="69">
        <v>16184.569500000001</v>
      </c>
      <c r="X33" s="53">
        <v>210.36834000000002</v>
      </c>
      <c r="Y33" s="52">
        <v>37.663380000000004</v>
      </c>
      <c r="Z33" s="53">
        <v>2609.0100000000002</v>
      </c>
      <c r="AA33" s="53">
        <v>4087.71522</v>
      </c>
      <c r="AB33" s="53">
        <v>5810.09274</v>
      </c>
      <c r="AC33" s="53">
        <v>3340.2002400000001</v>
      </c>
      <c r="AD33" s="69">
        <v>16094.813400000001</v>
      </c>
      <c r="AE33" s="53">
        <v>209.65716000000003</v>
      </c>
      <c r="AF33" s="52">
        <v>37.558080000000004</v>
      </c>
      <c r="AG33">
        <v>2578.7419200000004</v>
      </c>
      <c r="AH33">
        <v>4082.2590600000003</v>
      </c>
      <c r="AI33">
        <v>5798.3720400000011</v>
      </c>
      <c r="AJ33">
        <v>3299.7277800000002</v>
      </c>
      <c r="AK33" s="18">
        <v>16006.11354</v>
      </c>
    </row>
    <row r="34" spans="1:37" x14ac:dyDescent="0.2">
      <c r="A34">
        <v>2042</v>
      </c>
      <c r="C34">
        <v>231.30522000000002</v>
      </c>
      <c r="D34" s="52">
        <v>41.020020000000002</v>
      </c>
      <c r="E34" s="53">
        <v>3202.86474</v>
      </c>
      <c r="F34" s="53">
        <v>4394.5448399999996</v>
      </c>
      <c r="G34" s="53">
        <v>6234.7644</v>
      </c>
      <c r="H34" s="53">
        <v>3747.2398200000002</v>
      </c>
      <c r="I34" s="69">
        <v>17851.530060000001</v>
      </c>
      <c r="J34" s="53">
        <v>227.68614000000002</v>
      </c>
      <c r="K34" s="52">
        <v>40.869360000000007</v>
      </c>
      <c r="L34" s="53">
        <v>3102.4863</v>
      </c>
      <c r="M34" s="53">
        <v>4391.0391600000003</v>
      </c>
      <c r="N34" s="53">
        <v>6224.3947800000005</v>
      </c>
      <c r="O34" s="53">
        <v>3666.9024000000004</v>
      </c>
      <c r="P34" s="69">
        <v>17653.049279999999</v>
      </c>
      <c r="Q34" s="53">
        <v>226.82916000000003</v>
      </c>
      <c r="R34" s="52">
        <v>40.752720000000004</v>
      </c>
      <c r="S34" s="53">
        <v>3066.74262</v>
      </c>
      <c r="T34" s="53">
        <v>4385.8908000000001</v>
      </c>
      <c r="U34" s="53">
        <v>6210.9925200000007</v>
      </c>
      <c r="V34" s="53">
        <v>3626.0087400000002</v>
      </c>
      <c r="W34" s="69">
        <v>17556.920099999999</v>
      </c>
      <c r="X34" s="53">
        <v>225.93978000000001</v>
      </c>
      <c r="Y34" s="52">
        <v>40.634459999999997</v>
      </c>
      <c r="Z34" s="53">
        <v>3030.6717000000003</v>
      </c>
      <c r="AA34" s="53">
        <v>4380.3374400000002</v>
      </c>
      <c r="AB34" s="53">
        <v>6198.21234</v>
      </c>
      <c r="AC34" s="53">
        <v>3584.2013999999999</v>
      </c>
      <c r="AD34" s="69">
        <v>17459.73144</v>
      </c>
      <c r="AE34" s="53">
        <v>225.10224000000002</v>
      </c>
      <c r="AF34" s="52">
        <v>40.516200000000005</v>
      </c>
      <c r="AG34">
        <v>2995.9502400000001</v>
      </c>
      <c r="AH34">
        <v>4374.7662600000003</v>
      </c>
      <c r="AI34">
        <v>6184.9364400000004</v>
      </c>
      <c r="AJ34">
        <v>3543.2299800000005</v>
      </c>
      <c r="AK34" s="18">
        <v>17364.272940000003</v>
      </c>
    </row>
    <row r="35" spans="1:37" x14ac:dyDescent="0.2">
      <c r="A35">
        <v>2047</v>
      </c>
      <c r="C35">
        <v>247.65750000000003</v>
      </c>
      <c r="D35" s="52">
        <v>43.960320000000003</v>
      </c>
      <c r="E35" s="53">
        <v>3635.3302200000003</v>
      </c>
      <c r="F35" s="53">
        <v>4696.0884000000005</v>
      </c>
      <c r="G35" s="53">
        <v>6645.5461800000012</v>
      </c>
      <c r="H35" s="53">
        <v>3998.1842999999999</v>
      </c>
      <c r="I35" s="69">
        <v>19266.417000000001</v>
      </c>
      <c r="J35" s="53">
        <v>243.61884000000003</v>
      </c>
      <c r="K35" s="52">
        <v>43.811280000000004</v>
      </c>
      <c r="L35" s="53">
        <v>3507.6644999999999</v>
      </c>
      <c r="M35" s="53">
        <v>4683.8703599999999</v>
      </c>
      <c r="N35" s="53">
        <v>6613.8346800000008</v>
      </c>
      <c r="O35" s="53">
        <v>3875.0724</v>
      </c>
      <c r="P35" s="69">
        <v>18967.51728</v>
      </c>
      <c r="Q35" s="53">
        <v>242.63226</v>
      </c>
      <c r="R35" s="52">
        <v>43.688160000000003</v>
      </c>
      <c r="S35" s="53">
        <v>3467.9518199999998</v>
      </c>
      <c r="T35" s="53">
        <v>4678.8418799999999</v>
      </c>
      <c r="U35" s="53">
        <v>6599.2044600000008</v>
      </c>
      <c r="V35" s="53">
        <v>3833.8871400000007</v>
      </c>
      <c r="W35" s="69">
        <v>18865.880100000002</v>
      </c>
      <c r="X35" s="53">
        <v>241.62462000000002</v>
      </c>
      <c r="Y35" s="52">
        <v>43.563420000000001</v>
      </c>
      <c r="Z35" s="53">
        <v>3427.86816</v>
      </c>
      <c r="AA35" s="53">
        <v>4673.3889600000002</v>
      </c>
      <c r="AB35" s="53">
        <v>6584.0315400000009</v>
      </c>
      <c r="AC35" s="53">
        <v>3792.1964400000002</v>
      </c>
      <c r="AD35" s="69">
        <v>18762.381540000002</v>
      </c>
      <c r="AE35" s="53">
        <v>240.68016000000003</v>
      </c>
      <c r="AF35" s="52">
        <v>43.438680000000005</v>
      </c>
      <c r="AG35">
        <v>3390.3181800000007</v>
      </c>
      <c r="AH35">
        <v>4667.7157200000001</v>
      </c>
      <c r="AI35">
        <v>6571.0164600000007</v>
      </c>
      <c r="AJ35">
        <v>3750.8086800000001</v>
      </c>
      <c r="AK35" s="18">
        <v>18663.71544</v>
      </c>
    </row>
    <row r="36" spans="1:37" x14ac:dyDescent="0.2">
      <c r="A36">
        <v>2052</v>
      </c>
      <c r="C36">
        <v>263.87369999999999</v>
      </c>
      <c r="D36" s="52">
        <v>46.910340000000005</v>
      </c>
      <c r="E36" s="53">
        <v>4031.4769200000001</v>
      </c>
      <c r="F36" s="53">
        <v>5001.6058200000007</v>
      </c>
      <c r="G36" s="53">
        <v>7066.1629800000001</v>
      </c>
      <c r="H36" s="53">
        <v>4220.8192800000006</v>
      </c>
      <c r="I36" s="69">
        <v>20630.283660000001</v>
      </c>
      <c r="J36" s="53">
        <v>259.38630000000001</v>
      </c>
      <c r="K36" s="52">
        <v>46.733760000000004</v>
      </c>
      <c r="L36" s="53">
        <v>3879.6116400000005</v>
      </c>
      <c r="M36" s="53">
        <v>4976.0114400000002</v>
      </c>
      <c r="N36" s="53">
        <v>7009.4484000000002</v>
      </c>
      <c r="O36" s="53">
        <v>4031.2776600000007</v>
      </c>
      <c r="P36" s="69">
        <v>20202.099840000003</v>
      </c>
      <c r="Q36" s="53">
        <v>258.29442</v>
      </c>
      <c r="R36" s="52">
        <v>46.609020000000001</v>
      </c>
      <c r="S36" s="53">
        <v>3836.8792800000001</v>
      </c>
      <c r="T36" s="53">
        <v>4971.2454000000007</v>
      </c>
      <c r="U36" s="53">
        <v>6993.4136399999998</v>
      </c>
      <c r="V36" s="53">
        <v>3990.8894400000004</v>
      </c>
      <c r="W36" s="69">
        <v>20096.989380000003</v>
      </c>
      <c r="X36" s="53">
        <v>257.17500000000001</v>
      </c>
      <c r="Y36" s="52">
        <v>46.48104</v>
      </c>
      <c r="Z36" s="53">
        <v>3793.9120199999998</v>
      </c>
      <c r="AA36" s="53">
        <v>4966.0565400000005</v>
      </c>
      <c r="AB36" s="53">
        <v>6975.7767000000003</v>
      </c>
      <c r="AC36" s="53">
        <v>3950.2209600000001</v>
      </c>
      <c r="AD36" s="69">
        <v>19989.309600000001</v>
      </c>
      <c r="AE36" s="53">
        <v>256.16735999999997</v>
      </c>
      <c r="AF36" s="52">
        <v>46.353059999999999</v>
      </c>
      <c r="AG36">
        <v>3756.9727800000005</v>
      </c>
      <c r="AH36">
        <v>4960.5647400000007</v>
      </c>
      <c r="AI36">
        <v>6959.8197000000009</v>
      </c>
      <c r="AJ36">
        <v>3909.7404000000006</v>
      </c>
      <c r="AK36" s="18">
        <v>19889.32806</v>
      </c>
    </row>
    <row r="38" spans="1:37" x14ac:dyDescent="0.2">
      <c r="A38" s="8" t="s">
        <v>44</v>
      </c>
      <c r="B38" s="75"/>
    </row>
    <row r="39" spans="1:37" x14ac:dyDescent="0.2">
      <c r="C39" t="s">
        <v>1</v>
      </c>
      <c r="D39" t="s">
        <v>2</v>
      </c>
      <c r="E39" t="s">
        <v>3</v>
      </c>
      <c r="F39" t="s">
        <v>4</v>
      </c>
      <c r="G39" t="s">
        <v>5</v>
      </c>
      <c r="H39" t="s">
        <v>6</v>
      </c>
      <c r="I39" s="18" t="s">
        <v>7</v>
      </c>
      <c r="J39" t="s">
        <v>1</v>
      </c>
      <c r="K39" t="s">
        <v>2</v>
      </c>
      <c r="L39" t="s">
        <v>3</v>
      </c>
      <c r="M39" t="s">
        <v>4</v>
      </c>
      <c r="N39" t="s">
        <v>5</v>
      </c>
      <c r="O39" t="s">
        <v>6</v>
      </c>
      <c r="P39" s="18" t="s">
        <v>7</v>
      </c>
      <c r="Q39" t="s">
        <v>1</v>
      </c>
      <c r="R39" t="s">
        <v>2</v>
      </c>
      <c r="S39" t="s">
        <v>3</v>
      </c>
      <c r="T39" t="s">
        <v>4</v>
      </c>
      <c r="U39" t="s">
        <v>5</v>
      </c>
      <c r="V39" t="s">
        <v>6</v>
      </c>
      <c r="W39" s="18" t="s">
        <v>7</v>
      </c>
      <c r="X39" t="s">
        <v>1</v>
      </c>
      <c r="Y39" t="s">
        <v>2</v>
      </c>
      <c r="Z39" t="s">
        <v>3</v>
      </c>
      <c r="AA39" t="s">
        <v>4</v>
      </c>
      <c r="AB39" t="s">
        <v>5</v>
      </c>
      <c r="AC39" t="s">
        <v>6</v>
      </c>
      <c r="AD39" s="18" t="s">
        <v>7</v>
      </c>
      <c r="AE39" t="s">
        <v>1</v>
      </c>
      <c r="AF39" t="s">
        <v>2</v>
      </c>
      <c r="AG39" t="s">
        <v>3</v>
      </c>
      <c r="AH39" t="s">
        <v>4</v>
      </c>
      <c r="AI39" t="s">
        <v>5</v>
      </c>
      <c r="AJ39" t="s">
        <v>6</v>
      </c>
      <c r="AK39" s="18" t="s">
        <v>7</v>
      </c>
    </row>
    <row r="40" spans="1:37" s="1" customFormat="1" ht="25.5" x14ac:dyDescent="0.2">
      <c r="A40" s="1" t="s">
        <v>38</v>
      </c>
      <c r="B40" s="68"/>
      <c r="C40" s="1" t="s">
        <v>39</v>
      </c>
      <c r="D40" s="1" t="s">
        <v>39</v>
      </c>
      <c r="E40" s="1" t="s">
        <v>39</v>
      </c>
      <c r="F40" s="1" t="s">
        <v>39</v>
      </c>
      <c r="G40" s="1" t="s">
        <v>39</v>
      </c>
      <c r="H40" s="1" t="s">
        <v>39</v>
      </c>
      <c r="I40" s="68" t="s">
        <v>39</v>
      </c>
      <c r="J40" s="1" t="s">
        <v>40</v>
      </c>
      <c r="K40" s="1" t="s">
        <v>40</v>
      </c>
      <c r="L40" s="1" t="s">
        <v>40</v>
      </c>
      <c r="M40" s="1" t="s">
        <v>40</v>
      </c>
      <c r="N40" s="1" t="s">
        <v>40</v>
      </c>
      <c r="O40" s="1" t="s">
        <v>40</v>
      </c>
      <c r="P40" s="68" t="s">
        <v>40</v>
      </c>
      <c r="Q40" s="1" t="s">
        <v>41</v>
      </c>
      <c r="R40" s="1" t="s">
        <v>41</v>
      </c>
      <c r="S40" s="1" t="s">
        <v>41</v>
      </c>
      <c r="T40" s="1" t="s">
        <v>41</v>
      </c>
      <c r="U40" s="1" t="s">
        <v>41</v>
      </c>
      <c r="V40" s="1" t="s">
        <v>41</v>
      </c>
      <c r="W40" s="68" t="s">
        <v>41</v>
      </c>
      <c r="X40" s="1" t="s">
        <v>42</v>
      </c>
      <c r="Y40" s="1" t="s">
        <v>42</v>
      </c>
      <c r="Z40" s="1" t="s">
        <v>42</v>
      </c>
      <c r="AA40" s="1" t="s">
        <v>42</v>
      </c>
      <c r="AB40" s="1" t="s">
        <v>42</v>
      </c>
      <c r="AC40" s="1" t="s">
        <v>42</v>
      </c>
      <c r="AD40" s="68" t="s">
        <v>42</v>
      </c>
      <c r="AE40" s="1" t="s">
        <v>43</v>
      </c>
      <c r="AF40" s="1" t="s">
        <v>43</v>
      </c>
      <c r="AG40" s="1" t="s">
        <v>43</v>
      </c>
      <c r="AH40" s="1" t="s">
        <v>43</v>
      </c>
      <c r="AI40" s="1" t="s">
        <v>43</v>
      </c>
      <c r="AJ40" s="1" t="s">
        <v>43</v>
      </c>
      <c r="AK40" s="68" t="s">
        <v>43</v>
      </c>
    </row>
    <row r="41" spans="1:37" x14ac:dyDescent="0.2">
      <c r="A41">
        <v>2007</v>
      </c>
      <c r="C41" s="60">
        <v>0.66175774097023754</v>
      </c>
      <c r="D41" s="54">
        <v>8.0543858350961589E-2</v>
      </c>
      <c r="E41" s="54">
        <v>10.06523183453724</v>
      </c>
      <c r="F41" s="54">
        <v>7.8443200608412411</v>
      </c>
      <c r="G41" s="54">
        <v>7.9861291835591537</v>
      </c>
      <c r="H41" s="54">
        <v>17.697469931990362</v>
      </c>
      <c r="I41" s="71">
        <v>44.335452610249206</v>
      </c>
      <c r="J41" s="54">
        <v>0.65926941347939361</v>
      </c>
      <c r="K41" s="54">
        <v>8.0070000000000002E-2</v>
      </c>
      <c r="L41" s="54">
        <v>10.074753702750272</v>
      </c>
      <c r="M41" s="54">
        <v>7.7938224304439734</v>
      </c>
      <c r="N41" s="54">
        <v>8.3912858834261783</v>
      </c>
      <c r="O41" s="54">
        <v>17.612280488550994</v>
      </c>
      <c r="P41" s="71">
        <v>44.611099949175745</v>
      </c>
      <c r="Q41" s="54">
        <v>0.65945295300554951</v>
      </c>
      <c r="R41" s="54">
        <v>8.0070000000000002E-2</v>
      </c>
      <c r="S41" s="54">
        <v>10.075660028625714</v>
      </c>
      <c r="T41" s="54">
        <v>7.7946223063544133</v>
      </c>
      <c r="U41" s="54">
        <v>8.3932780537881566</v>
      </c>
      <c r="V41" s="54">
        <v>17.609072568575087</v>
      </c>
      <c r="W41" s="71">
        <v>44.611742120754371</v>
      </c>
      <c r="X41" s="54">
        <v>0.65966688666226803</v>
      </c>
      <c r="Y41" s="54">
        <v>8.0060000000000006E-2</v>
      </c>
      <c r="Z41" s="54">
        <v>10.076568668524049</v>
      </c>
      <c r="AA41" s="54">
        <v>7.7953535200409858</v>
      </c>
      <c r="AB41" s="54">
        <v>8.3950203216266939</v>
      </c>
      <c r="AC41" s="54">
        <v>17.60628593243128</v>
      </c>
      <c r="AD41" s="71">
        <v>44.612519876599031</v>
      </c>
      <c r="AE41" s="54">
        <v>0.65992093312791922</v>
      </c>
      <c r="AF41" s="54">
        <v>8.0060000000000006E-2</v>
      </c>
      <c r="AG41">
        <v>10.0773682002597</v>
      </c>
      <c r="AH41">
        <v>7.7961882783652579</v>
      </c>
      <c r="AI41">
        <v>8.3966276512771412</v>
      </c>
      <c r="AJ41">
        <v>17.603113953691654</v>
      </c>
      <c r="AK41" s="18">
        <v>44.612809474103187</v>
      </c>
    </row>
    <row r="42" spans="1:37" x14ac:dyDescent="0.2">
      <c r="A42">
        <v>2012</v>
      </c>
      <c r="C42" s="60">
        <v>0.67651699409445332</v>
      </c>
      <c r="D42" s="54">
        <v>7.6500281619610477E-2</v>
      </c>
      <c r="E42" s="54">
        <v>11.913725684704321</v>
      </c>
      <c r="F42" s="54">
        <v>7.8708338137533511</v>
      </c>
      <c r="G42" s="54">
        <v>7.6304963026352057</v>
      </c>
      <c r="H42" s="54">
        <v>19.51244834041167</v>
      </c>
      <c r="I42" s="71">
        <v>47.680521417218607</v>
      </c>
      <c r="J42" s="54">
        <v>0.67734139947209904</v>
      </c>
      <c r="K42" s="54">
        <v>7.7890000000000001E-2</v>
      </c>
      <c r="L42" s="54">
        <v>12.055132261928474</v>
      </c>
      <c r="M42" s="54">
        <v>7.8652313274855725</v>
      </c>
      <c r="N42" s="54">
        <v>7.7609557724135856</v>
      </c>
      <c r="O42" s="54">
        <v>19.571729639012666</v>
      </c>
      <c r="P42" s="71">
        <v>48.006671612291584</v>
      </c>
      <c r="Q42" s="54">
        <v>0.6773912708776938</v>
      </c>
      <c r="R42" s="54">
        <v>7.7240000000000003E-2</v>
      </c>
      <c r="S42" s="54">
        <v>12.050878311054042</v>
      </c>
      <c r="T42" s="54">
        <v>7.8679914386834469</v>
      </c>
      <c r="U42" s="54">
        <v>7.7698591820981822</v>
      </c>
      <c r="V42" s="54">
        <v>19.506841102680461</v>
      </c>
      <c r="W42" s="71">
        <v>47.948838259688891</v>
      </c>
      <c r="X42" s="54">
        <v>0.67741955777422735</v>
      </c>
      <c r="Y42" s="54">
        <v>7.671E-2</v>
      </c>
      <c r="Z42" s="54">
        <v>12.008719345579044</v>
      </c>
      <c r="AA42" s="54">
        <v>7.8545737958903441</v>
      </c>
      <c r="AB42" s="54">
        <v>7.7770704919493099</v>
      </c>
      <c r="AC42" s="54">
        <v>19.472493467959733</v>
      </c>
      <c r="AD42" s="71">
        <v>47.865629964939934</v>
      </c>
      <c r="AE42" s="54">
        <v>0.67737312353378865</v>
      </c>
      <c r="AF42" s="54">
        <v>7.6329999999999995E-2</v>
      </c>
      <c r="AG42">
        <v>11.979555481235353</v>
      </c>
      <c r="AH42">
        <v>7.8242430666756251</v>
      </c>
      <c r="AI42">
        <v>7.7833765443144856</v>
      </c>
      <c r="AJ42">
        <v>19.454038464609344</v>
      </c>
      <c r="AK42" s="18">
        <v>47.793486882769507</v>
      </c>
    </row>
    <row r="43" spans="1:37" x14ac:dyDescent="0.2">
      <c r="A43">
        <v>2017</v>
      </c>
      <c r="C43" s="60">
        <v>0.69713013576331873</v>
      </c>
      <c r="D43" s="54">
        <v>7.7665450566172758E-2</v>
      </c>
      <c r="E43" s="54">
        <v>14.032301993150691</v>
      </c>
      <c r="F43" s="54">
        <v>7.9121116099816291</v>
      </c>
      <c r="G43" s="54">
        <v>7.7881653949736078</v>
      </c>
      <c r="H43" s="54">
        <v>20.956619673125541</v>
      </c>
      <c r="I43" s="71">
        <v>51.463994257560948</v>
      </c>
      <c r="J43" s="54">
        <v>0.70306976363993212</v>
      </c>
      <c r="K43" s="54">
        <v>7.8189999999999996E-2</v>
      </c>
      <c r="L43" s="54">
        <v>13.843673596206342</v>
      </c>
      <c r="M43" s="54">
        <v>7.8867138589666075</v>
      </c>
      <c r="N43" s="54">
        <v>7.8873506049757829</v>
      </c>
      <c r="O43" s="54">
        <v>20.631104157635086</v>
      </c>
      <c r="P43" s="71">
        <v>51.028865060352622</v>
      </c>
      <c r="Q43" s="54">
        <v>0.69801522881867684</v>
      </c>
      <c r="R43" s="54">
        <v>7.7710000000000001E-2</v>
      </c>
      <c r="S43" s="54">
        <v>13.59984095240539</v>
      </c>
      <c r="T43" s="54">
        <v>7.711661198343557</v>
      </c>
      <c r="U43" s="54">
        <v>7.912185429014273</v>
      </c>
      <c r="V43" s="54">
        <v>20.561019130205185</v>
      </c>
      <c r="W43" s="71">
        <v>50.558949048699475</v>
      </c>
      <c r="X43" s="54">
        <v>0.69192994332106861</v>
      </c>
      <c r="Y43" s="54">
        <v>7.7229999999999993E-2</v>
      </c>
      <c r="Z43" s="54">
        <v>13.515829697965932</v>
      </c>
      <c r="AA43" s="54">
        <v>7.6055667436245473</v>
      </c>
      <c r="AB43" s="54">
        <v>7.9204576796254216</v>
      </c>
      <c r="AC43" s="54">
        <v>20.497492583450633</v>
      </c>
      <c r="AD43" s="71">
        <v>50.307070445494425</v>
      </c>
      <c r="AE43" s="54">
        <v>0.68686318019469683</v>
      </c>
      <c r="AF43" s="54">
        <v>7.6819999999999999E-2</v>
      </c>
      <c r="AG43">
        <v>13.4626098102372</v>
      </c>
      <c r="AH43">
        <v>7.5707746652784316</v>
      </c>
      <c r="AI43">
        <v>7.9142108990596363</v>
      </c>
      <c r="AJ43">
        <v>20.433178523823482</v>
      </c>
      <c r="AK43" s="18">
        <v>50.142994212634768</v>
      </c>
    </row>
    <row r="44" spans="1:37" x14ac:dyDescent="0.2">
      <c r="A44">
        <v>2022</v>
      </c>
      <c r="C44" s="60">
        <v>0.73491243710447918</v>
      </c>
      <c r="D44" s="54">
        <v>8.064099906920838E-2</v>
      </c>
      <c r="E44" s="54">
        <v>16.627439474121562</v>
      </c>
      <c r="F44" s="54">
        <v>8.1049369975750629</v>
      </c>
      <c r="G44" s="54">
        <v>8.0336188437757059</v>
      </c>
      <c r="H44" s="54">
        <v>22.945983609017059</v>
      </c>
      <c r="I44" s="71">
        <v>56.527532360663088</v>
      </c>
      <c r="J44" s="54">
        <v>0.66282362784870552</v>
      </c>
      <c r="K44" s="54">
        <v>7.4859999999999996E-2</v>
      </c>
      <c r="L44" s="54">
        <v>9.5571082586579301</v>
      </c>
      <c r="M44" s="54">
        <v>6.4410013964287227</v>
      </c>
      <c r="N44" s="54">
        <v>7.1867397280362022</v>
      </c>
      <c r="O44" s="54">
        <v>16.919471920309132</v>
      </c>
      <c r="P44" s="71">
        <v>40.84303316225148</v>
      </c>
      <c r="Q44" s="54">
        <v>0.60116141844175541</v>
      </c>
      <c r="R44" s="54">
        <v>7.2470000000000007E-2</v>
      </c>
      <c r="S44" s="54">
        <v>8.18170095063833</v>
      </c>
      <c r="T44" s="54">
        <v>5.7259589826054711</v>
      </c>
      <c r="U44" s="54">
        <v>6.8381093805421465</v>
      </c>
      <c r="V44" s="54">
        <v>15.725650042378957</v>
      </c>
      <c r="W44" s="71">
        <v>37.147193784361285</v>
      </c>
      <c r="X44" s="54">
        <v>0.57351948612930692</v>
      </c>
      <c r="Y44" s="54">
        <v>7.0559999999999998E-2</v>
      </c>
      <c r="Z44" s="54">
        <v>7.372748668280499</v>
      </c>
      <c r="AA44" s="54">
        <v>5.265097094797019</v>
      </c>
      <c r="AB44" s="54">
        <v>6.5531517239121904</v>
      </c>
      <c r="AC44" s="54">
        <v>14.831786307506004</v>
      </c>
      <c r="AD44" s="71">
        <v>34.670167886763394</v>
      </c>
      <c r="AE44" s="54">
        <v>0.56048800967871371</v>
      </c>
      <c r="AF44" s="54">
        <v>6.9000000000000006E-2</v>
      </c>
      <c r="AG44">
        <v>6.7864860815439396</v>
      </c>
      <c r="AH44">
        <v>4.9779993537096558</v>
      </c>
      <c r="AI44">
        <v>6.296569155679399</v>
      </c>
      <c r="AJ44">
        <v>14.113137932231865</v>
      </c>
      <c r="AK44" s="18">
        <v>32.808092482222996</v>
      </c>
    </row>
    <row r="45" spans="1:37" x14ac:dyDescent="0.2">
      <c r="A45">
        <v>2027</v>
      </c>
      <c r="C45" s="60">
        <v>0.78453248037736878</v>
      </c>
      <c r="D45" s="54">
        <v>8.3256634685147407E-2</v>
      </c>
      <c r="E45" s="54">
        <v>19.573978592110979</v>
      </c>
      <c r="F45" s="54">
        <v>8.2022988066018758</v>
      </c>
      <c r="G45" s="54">
        <v>8.0890365065916132</v>
      </c>
      <c r="H45" s="54">
        <v>25.061286621873791</v>
      </c>
      <c r="I45" s="71">
        <v>61.794389642240773</v>
      </c>
      <c r="J45" s="54">
        <v>0.6486083750713072</v>
      </c>
      <c r="K45" s="54">
        <v>7.4399999999999994E-2</v>
      </c>
      <c r="L45" s="54">
        <v>8.7790256035142864</v>
      </c>
      <c r="M45" s="54">
        <v>5.4183702897006532</v>
      </c>
      <c r="N45" s="54">
        <v>6.7423778420897822</v>
      </c>
      <c r="O45" s="54">
        <v>16.020560284085565</v>
      </c>
      <c r="P45" s="71">
        <v>37.688591019693931</v>
      </c>
      <c r="Q45" s="54">
        <v>0.62335991820540082</v>
      </c>
      <c r="R45" s="54">
        <v>7.1559999999999999E-2</v>
      </c>
      <c r="S45" s="54">
        <v>7.652122898447649</v>
      </c>
      <c r="T45" s="54">
        <v>4.8618393183297952</v>
      </c>
      <c r="U45" s="54">
        <v>6.283214441776642</v>
      </c>
      <c r="V45" s="54">
        <v>14.698088181716418</v>
      </c>
      <c r="W45" s="71">
        <v>34.198173330255116</v>
      </c>
      <c r="X45" s="54">
        <v>0.62544022586525128</v>
      </c>
      <c r="Y45" s="54">
        <v>6.9279999999999994E-2</v>
      </c>
      <c r="Z45" s="54">
        <v>6.9338434292311151</v>
      </c>
      <c r="AA45" s="54">
        <v>4.523199063633375</v>
      </c>
      <c r="AB45" s="54">
        <v>5.9273226821848395</v>
      </c>
      <c r="AC45" s="54">
        <v>13.706375465359207</v>
      </c>
      <c r="AD45" s="71">
        <v>31.795847172697762</v>
      </c>
      <c r="AE45" s="54">
        <v>0.62837024499413685</v>
      </c>
      <c r="AF45" s="54">
        <v>6.7360000000000003E-2</v>
      </c>
      <c r="AG45">
        <v>6.4097915693745691</v>
      </c>
      <c r="AH45">
        <v>4.2875334186752552</v>
      </c>
      <c r="AI45">
        <v>5.6637565059785455</v>
      </c>
      <c r="AJ45">
        <v>12.935245417193546</v>
      </c>
      <c r="AK45" s="18">
        <v>30.004368485913016</v>
      </c>
    </row>
    <row r="46" spans="1:37" x14ac:dyDescent="0.2">
      <c r="A46">
        <v>2032</v>
      </c>
      <c r="C46" s="97">
        <v>0.83886163120969381</v>
      </c>
      <c r="D46" s="58">
        <v>8.8538983475245608E-2</v>
      </c>
      <c r="E46" s="58">
        <v>22.738545241499299</v>
      </c>
      <c r="F46" s="58">
        <v>8.2945685928578978</v>
      </c>
      <c r="G46" s="58">
        <v>8.1423816382154293</v>
      </c>
      <c r="H46" s="58">
        <v>26.589909286571739</v>
      </c>
      <c r="I46" s="72">
        <v>66.692805373829302</v>
      </c>
      <c r="J46" s="54">
        <v>0.69101222219360992</v>
      </c>
      <c r="K46" s="54">
        <v>8.0049999999999996E-2</v>
      </c>
      <c r="L46" s="54">
        <v>10.511645568133282</v>
      </c>
      <c r="M46" s="54">
        <v>5.6168053067779429</v>
      </c>
      <c r="N46" s="54">
        <v>7.3341255333404076</v>
      </c>
      <c r="O46" s="54">
        <v>17.778306894776101</v>
      </c>
      <c r="P46" s="71">
        <v>42.018543974741249</v>
      </c>
      <c r="Q46" s="54">
        <v>0.68385651460012942</v>
      </c>
      <c r="R46" s="54">
        <v>7.7310000000000004E-2</v>
      </c>
      <c r="S46" s="54">
        <v>9.3372942863126855</v>
      </c>
      <c r="T46" s="54">
        <v>5.15310301461792</v>
      </c>
      <c r="U46" s="54">
        <v>6.8709126606971669</v>
      </c>
      <c r="V46" s="54">
        <v>16.420144281720468</v>
      </c>
      <c r="W46" s="71">
        <v>38.552261239023593</v>
      </c>
      <c r="X46" s="54">
        <v>0.69296903548001543</v>
      </c>
      <c r="Y46" s="54">
        <v>7.5069999999999998E-2</v>
      </c>
      <c r="Z46" s="54">
        <v>8.5374547715202755</v>
      </c>
      <c r="AA46" s="54">
        <v>4.8530027909967544</v>
      </c>
      <c r="AB46" s="54">
        <v>6.5046468808537261</v>
      </c>
      <c r="AC46" s="54">
        <v>15.362259690965994</v>
      </c>
      <c r="AD46" s="71">
        <v>36.03772353730411</v>
      </c>
      <c r="AE46" s="54">
        <v>0.70050988742402565</v>
      </c>
      <c r="AF46" s="54">
        <v>7.3160000000000003E-2</v>
      </c>
      <c r="AG46">
        <v>7.9354185588213024</v>
      </c>
      <c r="AH46">
        <v>4.6376008489911094</v>
      </c>
      <c r="AI46">
        <v>6.0505851294171</v>
      </c>
      <c r="AJ46">
        <v>14.510831702822012</v>
      </c>
      <c r="AK46" s="18">
        <v>33.922652880505915</v>
      </c>
    </row>
    <row r="47" spans="1:37" x14ac:dyDescent="0.2">
      <c r="A47">
        <v>2037</v>
      </c>
      <c r="C47" s="60">
        <v>0.9050963335428136</v>
      </c>
      <c r="D47" s="54">
        <v>9.1989571536019582E-2</v>
      </c>
      <c r="E47" s="54">
        <v>25.95821993122857</v>
      </c>
      <c r="F47" s="54">
        <v>8.4112583867444837</v>
      </c>
      <c r="G47" s="54">
        <v>8.2350710574334958</v>
      </c>
      <c r="H47" s="54">
        <v>27.323298511002761</v>
      </c>
      <c r="I47" s="71">
        <v>70.924933791488144</v>
      </c>
      <c r="J47" s="54">
        <v>0.7373381365998749</v>
      </c>
      <c r="K47" s="54">
        <v>8.4440000000000001E-2</v>
      </c>
      <c r="L47" s="54">
        <v>12.106227136794717</v>
      </c>
      <c r="M47" s="54">
        <v>5.7445531356603663</v>
      </c>
      <c r="N47" s="54">
        <v>7.6903167810815063</v>
      </c>
      <c r="O47" s="54">
        <v>19.217726213517313</v>
      </c>
      <c r="P47" s="71">
        <v>45.58885780225431</v>
      </c>
      <c r="Q47" s="54">
        <v>0.74299669438769711</v>
      </c>
      <c r="R47" s="54">
        <v>8.1839999999999996E-2</v>
      </c>
      <c r="S47" s="54">
        <v>10.892720528512672</v>
      </c>
      <c r="T47" s="54">
        <v>5.3538440936600109</v>
      </c>
      <c r="U47" s="54">
        <v>7.2210950663482363</v>
      </c>
      <c r="V47" s="54">
        <v>17.846321555762202</v>
      </c>
      <c r="W47" s="71">
        <v>42.150367632837785</v>
      </c>
      <c r="X47" s="54">
        <v>0.75728538562219294</v>
      </c>
      <c r="Y47" s="54">
        <v>7.9710000000000003E-2</v>
      </c>
      <c r="Z47" s="54">
        <v>10.028914620774877</v>
      </c>
      <c r="AA47" s="54">
        <v>5.0866988687035528</v>
      </c>
      <c r="AB47" s="54">
        <v>6.8489823872817075</v>
      </c>
      <c r="AC47" s="54">
        <v>16.75467512213682</v>
      </c>
      <c r="AD47" s="71">
        <v>39.570700916118525</v>
      </c>
      <c r="AE47" s="54">
        <v>0.76954910570627688</v>
      </c>
      <c r="AF47" s="54">
        <v>7.7859999999999999E-2</v>
      </c>
      <c r="AG47">
        <v>9.3690666875090578</v>
      </c>
      <c r="AH47">
        <v>4.8912504338596179</v>
      </c>
      <c r="AI47">
        <v>6.2407862468326449</v>
      </c>
      <c r="AJ47">
        <v>15.867339202248864</v>
      </c>
      <c r="AK47" s="18">
        <v>37.232773944022476</v>
      </c>
    </row>
    <row r="48" spans="1:37" x14ac:dyDescent="0.2">
      <c r="A48">
        <v>2042</v>
      </c>
      <c r="C48" s="60">
        <v>0.9834205488016533</v>
      </c>
      <c r="D48" s="54">
        <v>9.5755970230963675E-2</v>
      </c>
      <c r="E48" s="54">
        <v>29.280906925886008</v>
      </c>
      <c r="F48" s="54">
        <v>8.5519521613113412</v>
      </c>
      <c r="G48" s="54">
        <v>8.36644802185217</v>
      </c>
      <c r="H48" s="54">
        <v>28.667476467290758</v>
      </c>
      <c r="I48" s="71">
        <v>75.945960095372897</v>
      </c>
      <c r="J48" s="54">
        <v>0.79385065038720892</v>
      </c>
      <c r="K48" s="54">
        <v>8.8950000000000001E-2</v>
      </c>
      <c r="L48" s="54">
        <v>13.676360815392275</v>
      </c>
      <c r="M48" s="54">
        <v>5.9475431331182644</v>
      </c>
      <c r="N48" s="54">
        <v>8.0670711206217245</v>
      </c>
      <c r="O48" s="54">
        <v>20.672872493309384</v>
      </c>
      <c r="P48" s="71">
        <v>49.256719561830486</v>
      </c>
      <c r="Q48" s="54">
        <v>0.80718968610696717</v>
      </c>
      <c r="R48" s="54">
        <v>8.6459999999999995E-2</v>
      </c>
      <c r="S48" s="54">
        <v>12.411976960264147</v>
      </c>
      <c r="T48" s="54">
        <v>5.6039521358856712</v>
      </c>
      <c r="U48" s="54">
        <v>7.5865819267186971</v>
      </c>
      <c r="V48" s="54">
        <v>19.264931604254524</v>
      </c>
      <c r="W48" s="71">
        <v>45.774630885854364</v>
      </c>
      <c r="X48" s="54">
        <v>0.82437673618728358</v>
      </c>
      <c r="Y48" s="54">
        <v>8.4349999999999994E-2</v>
      </c>
      <c r="Z48" s="54">
        <v>11.485057750116781</v>
      </c>
      <c r="AA48" s="54">
        <v>5.357674111900371</v>
      </c>
      <c r="AB48" s="54">
        <v>7.2060357983713512</v>
      </c>
      <c r="AC48" s="54">
        <v>18.127135225350791</v>
      </c>
      <c r="AD48" s="71">
        <v>43.101260943289432</v>
      </c>
      <c r="AE48" s="54">
        <v>0.83961784122226613</v>
      </c>
      <c r="AF48" s="54">
        <v>8.2519999999999996E-2</v>
      </c>
      <c r="AG48">
        <v>10.771339102721997</v>
      </c>
      <c r="AH48">
        <v>5.1745705828160835</v>
      </c>
      <c r="AI48">
        <v>6.495311349546756</v>
      </c>
      <c r="AJ48">
        <v>17.198222424418084</v>
      </c>
      <c r="AK48" s="18">
        <v>40.580931999551602</v>
      </c>
    </row>
    <row r="49" spans="1:37" x14ac:dyDescent="0.2">
      <c r="A49">
        <v>2047</v>
      </c>
      <c r="C49" s="60">
        <v>1.0730122521552334</v>
      </c>
      <c r="D49" s="54">
        <v>9.9411910949315063E-2</v>
      </c>
      <c r="E49" s="54">
        <v>32.746929734397931</v>
      </c>
      <c r="F49" s="54">
        <v>8.7158920071763681</v>
      </c>
      <c r="G49" s="54">
        <v>8.5335238065257819</v>
      </c>
      <c r="H49" s="54">
        <v>29.838965752168519</v>
      </c>
      <c r="I49" s="71">
        <v>81.007735463373137</v>
      </c>
      <c r="J49" s="54">
        <v>0.85023447571055155</v>
      </c>
      <c r="K49" s="54">
        <v>9.2689999999999995E-2</v>
      </c>
      <c r="L49" s="54">
        <v>15.049067041646158</v>
      </c>
      <c r="M49" s="54">
        <v>6.1231101624831705</v>
      </c>
      <c r="N49" s="54">
        <v>8.3362968494052367</v>
      </c>
      <c r="O49" s="54">
        <v>21.925905154399043</v>
      </c>
      <c r="P49" s="71">
        <v>52.389288523834963</v>
      </c>
      <c r="Q49" s="54">
        <v>0.86821796794428974</v>
      </c>
      <c r="R49" s="54">
        <v>9.0319999999999998E-2</v>
      </c>
      <c r="S49" s="54">
        <v>13.736993927911069</v>
      </c>
      <c r="T49" s="54">
        <v>5.8145668571242162</v>
      </c>
      <c r="U49" s="54">
        <v>7.8357253964669313</v>
      </c>
      <c r="V49" s="54">
        <v>20.483791015253047</v>
      </c>
      <c r="W49" s="71">
        <v>48.845165087016909</v>
      </c>
      <c r="X49" s="54">
        <v>0.88796447197858863</v>
      </c>
      <c r="Y49" s="54">
        <v>8.8289999999999993E-2</v>
      </c>
      <c r="Z49" s="54">
        <v>12.762403127168669</v>
      </c>
      <c r="AA49" s="54">
        <v>5.5876173162554998</v>
      </c>
      <c r="AB49" s="54">
        <v>7.313853945099523</v>
      </c>
      <c r="AC49" s="54">
        <v>19.317912740217992</v>
      </c>
      <c r="AD49" s="71">
        <v>45.97683974903731</v>
      </c>
      <c r="AE49" s="54">
        <v>0.90490521918706723</v>
      </c>
      <c r="AF49" s="54">
        <v>8.6480000000000001E-2</v>
      </c>
      <c r="AG49">
        <v>12.00083893457299</v>
      </c>
      <c r="AH49">
        <v>5.4106266775501766</v>
      </c>
      <c r="AI49">
        <v>6.6860398227138251</v>
      </c>
      <c r="AJ49">
        <v>18.342858235452798</v>
      </c>
      <c r="AK49" s="18">
        <v>43.453438966451387</v>
      </c>
    </row>
    <row r="50" spans="1:37" x14ac:dyDescent="0.2">
      <c r="A50">
        <v>2052</v>
      </c>
      <c r="C50" s="60">
        <v>1.1742659849660837</v>
      </c>
      <c r="D50" s="54">
        <v>0.10316212340742575</v>
      </c>
      <c r="E50" s="54">
        <v>36.444357248026336</v>
      </c>
      <c r="F50" s="54">
        <v>8.9020834810977014</v>
      </c>
      <c r="G50" s="54">
        <v>8.729544975290132</v>
      </c>
      <c r="H50" s="54">
        <v>31.865020180406926</v>
      </c>
      <c r="I50" s="71">
        <v>87.218433993194608</v>
      </c>
      <c r="J50" s="54">
        <v>0.90726124602707692</v>
      </c>
      <c r="K50" s="54">
        <v>9.5860000000000001E-2</v>
      </c>
      <c r="L50" s="54">
        <v>16.255028459803029</v>
      </c>
      <c r="M50" s="54">
        <v>6.3022339914760455</v>
      </c>
      <c r="N50" s="54">
        <v>8.5687719148209567</v>
      </c>
      <c r="O50" s="54">
        <v>23.024419187291979</v>
      </c>
      <c r="P50" s="71">
        <v>55.167513896131346</v>
      </c>
      <c r="Q50" s="54">
        <v>0.9271542853864112</v>
      </c>
      <c r="R50" s="54">
        <v>9.3590000000000007E-2</v>
      </c>
      <c r="S50" s="54">
        <v>14.892702811699094</v>
      </c>
      <c r="T50" s="54">
        <v>6.0160548691497011</v>
      </c>
      <c r="U50" s="54">
        <v>8.0362819992120098</v>
      </c>
      <c r="V50" s="54">
        <v>21.544776507461098</v>
      </c>
      <c r="W50" s="71">
        <v>51.528124843216006</v>
      </c>
      <c r="X50" s="54">
        <v>0.94770508452803381</v>
      </c>
      <c r="Y50" s="54">
        <v>9.1630000000000003E-2</v>
      </c>
      <c r="Z50" s="54">
        <v>13.872096143175517</v>
      </c>
      <c r="AA50" s="54">
        <v>5.8003723153919138</v>
      </c>
      <c r="AB50" s="54">
        <v>7.4832465797856251</v>
      </c>
      <c r="AC50" s="54">
        <v>20.342160512873097</v>
      </c>
      <c r="AD50" s="71">
        <v>48.558107423913633</v>
      </c>
      <c r="AE50" s="54">
        <v>0.96656484325145886</v>
      </c>
      <c r="AF50" s="54">
        <v>8.9880000000000002E-2</v>
      </c>
      <c r="AG50">
        <v>13.076950384328489</v>
      </c>
      <c r="AH50">
        <v>5.628282710485367</v>
      </c>
      <c r="AI50">
        <v>6.8635934557542075</v>
      </c>
      <c r="AJ50">
        <v>19.330985489530743</v>
      </c>
      <c r="AK50" s="18">
        <v>45.980182899738089</v>
      </c>
    </row>
    <row r="52" spans="1:37" x14ac:dyDescent="0.2">
      <c r="A52" s="8" t="s">
        <v>45</v>
      </c>
    </row>
    <row r="53" spans="1:37" x14ac:dyDescent="0.2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s="18" t="s">
        <v>7</v>
      </c>
      <c r="J53" t="s">
        <v>40</v>
      </c>
      <c r="K53" t="s">
        <v>40</v>
      </c>
      <c r="L53" t="s">
        <v>40</v>
      </c>
      <c r="M53" s="2" t="s">
        <v>40</v>
      </c>
      <c r="N53" s="2" t="s">
        <v>40</v>
      </c>
      <c r="O53" s="2" t="s">
        <v>40</v>
      </c>
      <c r="P53" s="11" t="s">
        <v>40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" t="s">
        <v>41</v>
      </c>
      <c r="W53" s="11" t="s">
        <v>41</v>
      </c>
      <c r="X53" s="2" t="s">
        <v>42</v>
      </c>
      <c r="Y53" s="2" t="s">
        <v>42</v>
      </c>
      <c r="Z53" s="2" t="s">
        <v>42</v>
      </c>
      <c r="AA53" s="2" t="s">
        <v>42</v>
      </c>
      <c r="AB53" s="2" t="s">
        <v>42</v>
      </c>
      <c r="AC53" s="2" t="s">
        <v>42</v>
      </c>
      <c r="AD53" s="11" t="s">
        <v>42</v>
      </c>
      <c r="AE53" s="2" t="s">
        <v>43</v>
      </c>
      <c r="AF53" s="2" t="s">
        <v>43</v>
      </c>
      <c r="AG53" s="2" t="s">
        <v>43</v>
      </c>
      <c r="AH53" t="s">
        <v>43</v>
      </c>
      <c r="AI53" t="s">
        <v>43</v>
      </c>
      <c r="AJ53" t="s">
        <v>43</v>
      </c>
      <c r="AK53" s="18" t="s">
        <v>43</v>
      </c>
    </row>
    <row r="54" spans="1:37" s="1" customFormat="1" x14ac:dyDescent="0.2">
      <c r="A54" s="1" t="s">
        <v>38</v>
      </c>
      <c r="B54" s="68"/>
      <c r="C54" t="s">
        <v>1</v>
      </c>
      <c r="D54" t="s">
        <v>2</v>
      </c>
      <c r="E54" t="s">
        <v>3</v>
      </c>
      <c r="F54" t="s">
        <v>4</v>
      </c>
      <c r="G54" t="s">
        <v>5</v>
      </c>
      <c r="H54" t="s">
        <v>6</v>
      </c>
      <c r="I54" s="18" t="s">
        <v>7</v>
      </c>
      <c r="J54" t="s">
        <v>1</v>
      </c>
      <c r="K54" t="s">
        <v>2</v>
      </c>
      <c r="L54" t="s">
        <v>3</v>
      </c>
      <c r="M54" t="s">
        <v>4</v>
      </c>
      <c r="N54" t="s">
        <v>5</v>
      </c>
      <c r="O54" t="s">
        <v>6</v>
      </c>
      <c r="P54" s="18" t="s">
        <v>7</v>
      </c>
      <c r="Q54" t="s">
        <v>1</v>
      </c>
      <c r="R54" t="s">
        <v>2</v>
      </c>
      <c r="S54" t="s">
        <v>3</v>
      </c>
      <c r="T54" t="s">
        <v>4</v>
      </c>
      <c r="U54" t="s">
        <v>5</v>
      </c>
      <c r="V54" t="s">
        <v>6</v>
      </c>
      <c r="W54" s="18" t="s">
        <v>7</v>
      </c>
      <c r="X54" t="s">
        <v>1</v>
      </c>
      <c r="Y54" t="s">
        <v>2</v>
      </c>
      <c r="Z54" t="s">
        <v>3</v>
      </c>
      <c r="AA54" t="s">
        <v>4</v>
      </c>
      <c r="AB54" t="s">
        <v>5</v>
      </c>
      <c r="AC54" t="s">
        <v>6</v>
      </c>
      <c r="AD54" s="18" t="s">
        <v>7</v>
      </c>
      <c r="AE54" t="s">
        <v>1</v>
      </c>
      <c r="AF54" t="s">
        <v>2</v>
      </c>
      <c r="AG54" t="s">
        <v>3</v>
      </c>
      <c r="AH54" t="s">
        <v>4</v>
      </c>
      <c r="AI54" t="s">
        <v>5</v>
      </c>
      <c r="AJ54" t="s">
        <v>6</v>
      </c>
      <c r="AK54" s="18" t="s">
        <v>7</v>
      </c>
    </row>
    <row r="55" spans="1:37" x14ac:dyDescent="0.2">
      <c r="A55">
        <v>2007</v>
      </c>
      <c r="C55" s="2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73">
        <v>0</v>
      </c>
      <c r="J55" s="50">
        <v>2.0000000000000001E-4</v>
      </c>
      <c r="K55" s="50">
        <v>2.0000000000000001E-4</v>
      </c>
      <c r="L55" s="50">
        <v>2.0000000000000001E-4</v>
      </c>
      <c r="M55" s="50">
        <v>2.0000000000000001E-4</v>
      </c>
      <c r="N55" s="50">
        <v>2.0000000000000001E-4</v>
      </c>
      <c r="O55" s="50">
        <v>2.0000000000000001E-4</v>
      </c>
      <c r="P55" s="73">
        <v>2.0000000000000001E-4</v>
      </c>
      <c r="Q55" s="50">
        <v>2.0000000000000001E-4</v>
      </c>
      <c r="R55" s="50">
        <v>2.0000000000000001E-4</v>
      </c>
      <c r="S55" s="50">
        <v>2.0000000000000001E-4</v>
      </c>
      <c r="T55" s="50">
        <v>2.0000000000000001E-4</v>
      </c>
      <c r="U55" s="50">
        <v>2.0000000000000001E-4</v>
      </c>
      <c r="V55" s="50">
        <v>2.0000000000000001E-4</v>
      </c>
      <c r="W55" s="73">
        <v>2.0000000000000001E-4</v>
      </c>
      <c r="X55" s="50">
        <v>2.0000000000000001E-4</v>
      </c>
      <c r="Y55" s="50">
        <v>2.0000000000000001E-4</v>
      </c>
      <c r="Z55" s="50">
        <v>2.0000000000000001E-4</v>
      </c>
      <c r="AA55" s="50">
        <v>2.0000000000000001E-4</v>
      </c>
      <c r="AB55" s="50">
        <v>2.0000000000000001E-4</v>
      </c>
      <c r="AC55" s="50">
        <v>2.0000000000000001E-4</v>
      </c>
      <c r="AD55" s="73">
        <v>2.0000000000000001E-4</v>
      </c>
      <c r="AE55" s="50">
        <v>2.0000000000000001E-4</v>
      </c>
      <c r="AF55" s="50">
        <v>2.0000000000000001E-4</v>
      </c>
      <c r="AG55" s="2">
        <v>2.0000000000000001E-4</v>
      </c>
      <c r="AH55" s="2">
        <v>2.0000000000000001E-4</v>
      </c>
      <c r="AI55" s="2">
        <v>2.0000000000000001E-4</v>
      </c>
      <c r="AJ55" s="2">
        <v>2.0000000000000001E-4</v>
      </c>
      <c r="AK55" s="11">
        <v>2.0000000000000001E-4</v>
      </c>
    </row>
    <row r="56" spans="1:37" x14ac:dyDescent="0.2">
      <c r="A56">
        <v>2012</v>
      </c>
      <c r="C56" s="2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73">
        <v>0</v>
      </c>
      <c r="J56" s="50">
        <v>2.0000000000000001E-4</v>
      </c>
      <c r="K56" s="50">
        <v>2.0000000000000001E-4</v>
      </c>
      <c r="L56" s="50">
        <v>2.0000000000000001E-4</v>
      </c>
      <c r="M56" s="50">
        <v>2.0000000000000001E-4</v>
      </c>
      <c r="N56" s="50">
        <v>2.0000000000000001E-4</v>
      </c>
      <c r="O56" s="50">
        <v>2.0000000000000001E-4</v>
      </c>
      <c r="P56" s="73">
        <v>2.0000000000000001E-4</v>
      </c>
      <c r="Q56" s="50">
        <v>2.0000000000000001E-4</v>
      </c>
      <c r="R56" s="50">
        <v>2.0000000000000001E-4</v>
      </c>
      <c r="S56" s="50">
        <v>2.0000000000000001E-4</v>
      </c>
      <c r="T56" s="50">
        <v>2.0000000000000001E-4</v>
      </c>
      <c r="U56" s="50">
        <v>2.0000000000000001E-4</v>
      </c>
      <c r="V56" s="50">
        <v>2.0000000000000001E-4</v>
      </c>
      <c r="W56" s="73">
        <v>2.0000000000000001E-4</v>
      </c>
      <c r="X56" s="50">
        <v>2.0000000000000001E-4</v>
      </c>
      <c r="Y56" s="50">
        <v>2.0000000000000001E-4</v>
      </c>
      <c r="Z56" s="50">
        <v>2.0000000000000001E-4</v>
      </c>
      <c r="AA56" s="50">
        <v>2.0000000000000001E-4</v>
      </c>
      <c r="AB56" s="50">
        <v>2.0000000000000001E-4</v>
      </c>
      <c r="AC56" s="50">
        <v>2.0000000000000001E-4</v>
      </c>
      <c r="AD56" s="73">
        <v>2.0000000000000001E-4</v>
      </c>
      <c r="AE56" s="50">
        <v>2.0000000000000001E-4</v>
      </c>
      <c r="AF56" s="50">
        <v>2.0000000000000001E-4</v>
      </c>
      <c r="AG56" s="2">
        <v>2.0000000000000001E-4</v>
      </c>
      <c r="AH56" s="2">
        <v>2.0000000000000001E-4</v>
      </c>
      <c r="AI56" s="2">
        <v>2.0000000000000001E-4</v>
      </c>
      <c r="AJ56" s="2">
        <v>2.0000000000000001E-4</v>
      </c>
      <c r="AK56" s="11">
        <v>2.0000000000000001E-4</v>
      </c>
    </row>
    <row r="57" spans="1:37" x14ac:dyDescent="0.2">
      <c r="A57">
        <v>2017</v>
      </c>
      <c r="C57" s="2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73">
        <v>0</v>
      </c>
      <c r="J57" s="50">
        <v>2.0000000000000001E-4</v>
      </c>
      <c r="K57" s="50">
        <v>2.0000000000000001E-4</v>
      </c>
      <c r="L57" s="50">
        <v>2.0000000000000001E-4</v>
      </c>
      <c r="M57" s="50">
        <v>2.0000000000000001E-4</v>
      </c>
      <c r="N57" s="50">
        <v>2.0000000000000001E-4</v>
      </c>
      <c r="O57" s="50">
        <v>2.0000000000000001E-4</v>
      </c>
      <c r="P57" s="73">
        <v>2.0000000000000001E-4</v>
      </c>
      <c r="Q57" s="50">
        <v>2.0000000000000001E-4</v>
      </c>
      <c r="R57" s="50">
        <v>2.0000000000000001E-4</v>
      </c>
      <c r="S57" s="50">
        <v>2.0000000000000001E-4</v>
      </c>
      <c r="T57" s="50">
        <v>2.0000000000000001E-4</v>
      </c>
      <c r="U57" s="50">
        <v>2.0000000000000001E-4</v>
      </c>
      <c r="V57" s="50">
        <v>2.0000000000000001E-4</v>
      </c>
      <c r="W57" s="73">
        <v>2.0000000000000001E-4</v>
      </c>
      <c r="X57" s="50">
        <v>2.0000000000000001E-4</v>
      </c>
      <c r="Y57" s="50">
        <v>2.0000000000000001E-4</v>
      </c>
      <c r="Z57" s="50">
        <v>2.0000000000000001E-4</v>
      </c>
      <c r="AA57" s="50">
        <v>2.0000000000000001E-4</v>
      </c>
      <c r="AB57" s="50">
        <v>2.0000000000000001E-4</v>
      </c>
      <c r="AC57" s="50">
        <v>2.0000000000000001E-4</v>
      </c>
      <c r="AD57" s="73">
        <v>2.0000000000000001E-4</v>
      </c>
      <c r="AE57" s="50">
        <v>2.0000000000000001E-4</v>
      </c>
      <c r="AF57" s="50">
        <v>2.0000000000000001E-4</v>
      </c>
      <c r="AG57" s="2">
        <v>2.0000000000000001E-4</v>
      </c>
      <c r="AH57" s="2">
        <v>2.0000000000000001E-4</v>
      </c>
      <c r="AI57" s="2">
        <v>2.0000000000000001E-4</v>
      </c>
      <c r="AJ57" s="2">
        <v>2.0000000000000001E-4</v>
      </c>
      <c r="AK57" s="11">
        <v>2.0000000000000001E-4</v>
      </c>
    </row>
    <row r="58" spans="1:37" x14ac:dyDescent="0.2">
      <c r="A58">
        <v>2022</v>
      </c>
      <c r="C58" s="2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73">
        <v>0</v>
      </c>
      <c r="J58" s="50">
        <v>21.529699999999998</v>
      </c>
      <c r="K58" s="50">
        <v>21.529699999999998</v>
      </c>
      <c r="L58" s="50">
        <v>21.529699999999998</v>
      </c>
      <c r="M58" s="50">
        <v>21.529699999999998</v>
      </c>
      <c r="N58" s="50">
        <v>21.529699999999998</v>
      </c>
      <c r="O58" s="50">
        <v>21.529699999999998</v>
      </c>
      <c r="P58" s="73">
        <v>21.529699999999998</v>
      </c>
      <c r="Q58" s="50">
        <v>31.834199999999999</v>
      </c>
      <c r="R58" s="50">
        <v>31.834199999999999</v>
      </c>
      <c r="S58" s="50">
        <v>31.834199999999999</v>
      </c>
      <c r="T58" s="50">
        <v>31.834199999999999</v>
      </c>
      <c r="U58" s="50">
        <v>31.834199999999999</v>
      </c>
      <c r="V58" s="50">
        <v>31.834199999999999</v>
      </c>
      <c r="W58" s="73">
        <v>31.834199999999999</v>
      </c>
      <c r="X58" s="50">
        <v>42.1387</v>
      </c>
      <c r="Y58" s="50">
        <v>42.1387</v>
      </c>
      <c r="Z58" s="50">
        <v>42.1387</v>
      </c>
      <c r="AA58" s="50">
        <v>42.1387</v>
      </c>
      <c r="AB58" s="50">
        <v>42.1387</v>
      </c>
      <c r="AC58" s="50">
        <v>42.1387</v>
      </c>
      <c r="AD58" s="73">
        <v>42.1387</v>
      </c>
      <c r="AE58" s="50">
        <v>52.443199999999997</v>
      </c>
      <c r="AF58" s="50">
        <v>52.443199999999997</v>
      </c>
      <c r="AG58" s="2">
        <v>52.443199999999997</v>
      </c>
      <c r="AH58" s="2">
        <v>52.443199999999997</v>
      </c>
      <c r="AI58" s="2">
        <v>52.443199999999997</v>
      </c>
      <c r="AJ58" s="2">
        <v>52.443199999999997</v>
      </c>
      <c r="AK58" s="11">
        <v>52.443199999999997</v>
      </c>
    </row>
    <row r="59" spans="1:37" x14ac:dyDescent="0.2">
      <c r="A59">
        <v>2027</v>
      </c>
      <c r="C59" s="2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73">
        <v>0</v>
      </c>
      <c r="J59" s="50">
        <v>43.059199999999997</v>
      </c>
      <c r="K59" s="50">
        <v>43.059199999999997</v>
      </c>
      <c r="L59" s="50">
        <v>43.059199999999997</v>
      </c>
      <c r="M59" s="50">
        <v>43.059199999999997</v>
      </c>
      <c r="N59" s="50">
        <v>43.059199999999997</v>
      </c>
      <c r="O59" s="50">
        <v>43.059199999999997</v>
      </c>
      <c r="P59" s="73">
        <v>43.059199999999997</v>
      </c>
      <c r="Q59" s="50">
        <v>63.668199999999999</v>
      </c>
      <c r="R59" s="50">
        <v>63.668199999999999</v>
      </c>
      <c r="S59" s="50">
        <v>63.668199999999999</v>
      </c>
      <c r="T59" s="50">
        <v>63.668199999999999</v>
      </c>
      <c r="U59" s="50">
        <v>63.668199999999999</v>
      </c>
      <c r="V59" s="50">
        <v>63.668199999999999</v>
      </c>
      <c r="W59" s="73">
        <v>63.668199999999999</v>
      </c>
      <c r="X59" s="50">
        <v>84.277199999999993</v>
      </c>
      <c r="Y59" s="50">
        <v>84.277199999999993</v>
      </c>
      <c r="Z59" s="50">
        <v>84.277199999999993</v>
      </c>
      <c r="AA59" s="50">
        <v>84.277199999999993</v>
      </c>
      <c r="AB59" s="50">
        <v>84.277199999999993</v>
      </c>
      <c r="AC59" s="50">
        <v>84.277199999999993</v>
      </c>
      <c r="AD59" s="73">
        <v>84.277199999999993</v>
      </c>
      <c r="AE59" s="50">
        <v>104.8862</v>
      </c>
      <c r="AF59" s="50">
        <v>104.8862</v>
      </c>
      <c r="AG59" s="2">
        <v>104.8862</v>
      </c>
      <c r="AH59" s="2">
        <v>104.8862</v>
      </c>
      <c r="AI59" s="2">
        <v>104.8862</v>
      </c>
      <c r="AJ59" s="2">
        <v>104.8862</v>
      </c>
      <c r="AK59" s="11">
        <v>104.8862</v>
      </c>
    </row>
    <row r="60" spans="1:37" x14ac:dyDescent="0.2">
      <c r="A60">
        <v>2032</v>
      </c>
      <c r="C60" s="2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73">
        <v>0</v>
      </c>
      <c r="J60" s="50">
        <v>43.059199999999997</v>
      </c>
      <c r="K60" s="50">
        <v>43.059199999999997</v>
      </c>
      <c r="L60" s="50">
        <v>43.059199999999997</v>
      </c>
      <c r="M60" s="50">
        <v>43.059199999999997</v>
      </c>
      <c r="N60" s="50">
        <v>43.059199999999997</v>
      </c>
      <c r="O60" s="50">
        <v>43.059199999999997</v>
      </c>
      <c r="P60" s="73">
        <v>43.059199999999997</v>
      </c>
      <c r="Q60" s="50">
        <v>63.668199999999999</v>
      </c>
      <c r="R60" s="50">
        <v>63.668199999999999</v>
      </c>
      <c r="S60" s="50">
        <v>63.668199999999999</v>
      </c>
      <c r="T60" s="50">
        <v>63.668199999999999</v>
      </c>
      <c r="U60" s="50">
        <v>63.668199999999999</v>
      </c>
      <c r="V60" s="50">
        <v>63.668199999999999</v>
      </c>
      <c r="W60" s="73">
        <v>63.668199999999999</v>
      </c>
      <c r="X60" s="50">
        <v>84.277199999999993</v>
      </c>
      <c r="Y60" s="50">
        <v>84.277199999999993</v>
      </c>
      <c r="Z60" s="50">
        <v>84.277199999999993</v>
      </c>
      <c r="AA60" s="50">
        <v>84.277199999999993</v>
      </c>
      <c r="AB60" s="50">
        <v>84.277199999999993</v>
      </c>
      <c r="AC60" s="50">
        <v>84.277199999999993</v>
      </c>
      <c r="AD60" s="73">
        <v>84.277199999999993</v>
      </c>
      <c r="AE60" s="50">
        <v>104.8862</v>
      </c>
      <c r="AF60" s="50">
        <v>104.8862</v>
      </c>
      <c r="AG60" s="2">
        <v>104.8862</v>
      </c>
      <c r="AH60" s="2">
        <v>104.8862</v>
      </c>
      <c r="AI60" s="2">
        <v>104.8862</v>
      </c>
      <c r="AJ60" s="2">
        <v>104.8862</v>
      </c>
      <c r="AK60" s="11">
        <v>104.8862</v>
      </c>
    </row>
    <row r="61" spans="1:37" x14ac:dyDescent="0.2">
      <c r="A61">
        <v>2037</v>
      </c>
      <c r="C61" s="2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73">
        <v>0</v>
      </c>
      <c r="J61" s="50">
        <v>43.059199999999997</v>
      </c>
      <c r="K61" s="50">
        <v>43.059199999999997</v>
      </c>
      <c r="L61" s="50">
        <v>43.059199999999997</v>
      </c>
      <c r="M61" s="50">
        <v>43.059199999999997</v>
      </c>
      <c r="N61" s="50">
        <v>43.059199999999997</v>
      </c>
      <c r="O61" s="50">
        <v>43.059199999999997</v>
      </c>
      <c r="P61" s="73">
        <v>43.059199999999997</v>
      </c>
      <c r="Q61" s="50">
        <v>63.668199999999999</v>
      </c>
      <c r="R61" s="50">
        <v>63.668199999999999</v>
      </c>
      <c r="S61" s="50">
        <v>63.668199999999999</v>
      </c>
      <c r="T61" s="50">
        <v>63.668199999999999</v>
      </c>
      <c r="U61" s="50">
        <v>63.668199999999999</v>
      </c>
      <c r="V61" s="50">
        <v>63.668199999999999</v>
      </c>
      <c r="W61" s="73">
        <v>63.668199999999999</v>
      </c>
      <c r="X61" s="50">
        <v>84.277199999999993</v>
      </c>
      <c r="Y61" s="50">
        <v>84.277199999999993</v>
      </c>
      <c r="Z61" s="50">
        <v>84.277199999999993</v>
      </c>
      <c r="AA61" s="50">
        <v>84.277199999999993</v>
      </c>
      <c r="AB61" s="50">
        <v>84.277199999999993</v>
      </c>
      <c r="AC61" s="50">
        <v>84.277199999999993</v>
      </c>
      <c r="AD61" s="73">
        <v>84.277199999999993</v>
      </c>
      <c r="AE61" s="50">
        <v>104.8862</v>
      </c>
      <c r="AF61" s="50">
        <v>104.8862</v>
      </c>
      <c r="AG61" s="2">
        <v>104.8862</v>
      </c>
      <c r="AH61" s="2">
        <v>104.8862</v>
      </c>
      <c r="AI61" s="2">
        <v>104.8862</v>
      </c>
      <c r="AJ61" s="2">
        <v>104.8862</v>
      </c>
      <c r="AK61" s="11">
        <v>104.8862</v>
      </c>
    </row>
    <row r="62" spans="1:37" x14ac:dyDescent="0.2">
      <c r="A62">
        <v>2042</v>
      </c>
      <c r="C62" s="2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73">
        <v>0</v>
      </c>
      <c r="J62" s="50">
        <v>43.059199999999997</v>
      </c>
      <c r="K62" s="50">
        <v>43.059199999999997</v>
      </c>
      <c r="L62" s="50">
        <v>43.059199999999997</v>
      </c>
      <c r="M62" s="50">
        <v>43.059199999999997</v>
      </c>
      <c r="N62" s="50">
        <v>43.059199999999997</v>
      </c>
      <c r="O62" s="50">
        <v>43.059199999999997</v>
      </c>
      <c r="P62" s="73">
        <v>43.059199999999997</v>
      </c>
      <c r="Q62" s="50">
        <v>63.668199999999999</v>
      </c>
      <c r="R62" s="50">
        <v>63.668199999999999</v>
      </c>
      <c r="S62" s="50">
        <v>63.668199999999999</v>
      </c>
      <c r="T62" s="50">
        <v>63.668199999999999</v>
      </c>
      <c r="U62" s="50">
        <v>63.668199999999999</v>
      </c>
      <c r="V62" s="50">
        <v>63.668199999999999</v>
      </c>
      <c r="W62" s="73">
        <v>63.668199999999999</v>
      </c>
      <c r="X62" s="50">
        <v>84.277199999999993</v>
      </c>
      <c r="Y62" s="50">
        <v>84.277199999999993</v>
      </c>
      <c r="Z62" s="50">
        <v>84.277199999999993</v>
      </c>
      <c r="AA62" s="50">
        <v>84.277199999999993</v>
      </c>
      <c r="AB62" s="50">
        <v>84.277199999999993</v>
      </c>
      <c r="AC62" s="50">
        <v>84.277199999999993</v>
      </c>
      <c r="AD62" s="73">
        <v>84.277199999999993</v>
      </c>
      <c r="AE62" s="50">
        <v>104.8862</v>
      </c>
      <c r="AF62" s="50">
        <v>104.8862</v>
      </c>
      <c r="AG62" s="2">
        <v>104.8862</v>
      </c>
      <c r="AH62" s="2">
        <v>104.8862</v>
      </c>
      <c r="AI62" s="2">
        <v>104.8862</v>
      </c>
      <c r="AJ62" s="2">
        <v>104.8862</v>
      </c>
      <c r="AK62" s="11">
        <v>104.8862</v>
      </c>
    </row>
    <row r="63" spans="1:37" x14ac:dyDescent="0.2">
      <c r="A63">
        <v>2047</v>
      </c>
      <c r="C63" s="2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73">
        <v>0</v>
      </c>
      <c r="J63" s="50">
        <v>43.059199999999997</v>
      </c>
      <c r="K63" s="50">
        <v>43.059199999999997</v>
      </c>
      <c r="L63" s="50">
        <v>43.059199999999997</v>
      </c>
      <c r="M63" s="50">
        <v>43.059199999999997</v>
      </c>
      <c r="N63" s="50">
        <v>43.059199999999997</v>
      </c>
      <c r="O63" s="50">
        <v>43.059199999999997</v>
      </c>
      <c r="P63" s="73">
        <v>43.059199999999997</v>
      </c>
      <c r="Q63" s="50">
        <v>63.668199999999999</v>
      </c>
      <c r="R63" s="50">
        <v>63.668199999999999</v>
      </c>
      <c r="S63" s="50">
        <v>63.668199999999999</v>
      </c>
      <c r="T63" s="50">
        <v>63.668199999999999</v>
      </c>
      <c r="U63" s="50">
        <v>63.668199999999999</v>
      </c>
      <c r="V63" s="50">
        <v>63.668199999999999</v>
      </c>
      <c r="W63" s="73">
        <v>63.668199999999999</v>
      </c>
      <c r="X63" s="50">
        <v>84.277199999999993</v>
      </c>
      <c r="Y63" s="50">
        <v>84.277199999999993</v>
      </c>
      <c r="Z63" s="50">
        <v>84.277199999999993</v>
      </c>
      <c r="AA63" s="50">
        <v>84.277199999999993</v>
      </c>
      <c r="AB63" s="50">
        <v>84.277199999999993</v>
      </c>
      <c r="AC63" s="50">
        <v>84.277199999999993</v>
      </c>
      <c r="AD63" s="73">
        <v>84.277199999999993</v>
      </c>
      <c r="AE63" s="50">
        <v>104.8862</v>
      </c>
      <c r="AF63" s="50">
        <v>104.8862</v>
      </c>
      <c r="AG63" s="2">
        <v>104.8862</v>
      </c>
      <c r="AH63" s="2">
        <v>104.8862</v>
      </c>
      <c r="AI63" s="2">
        <v>104.8862</v>
      </c>
      <c r="AJ63" s="2">
        <v>104.8862</v>
      </c>
      <c r="AK63" s="11">
        <v>104.8862</v>
      </c>
    </row>
    <row r="64" spans="1:37" x14ac:dyDescent="0.2">
      <c r="A64">
        <v>2052</v>
      </c>
      <c r="C64" s="2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73">
        <v>0</v>
      </c>
      <c r="J64" s="50">
        <v>43.059199999999997</v>
      </c>
      <c r="K64" s="50">
        <v>43.059199999999997</v>
      </c>
      <c r="L64" s="50">
        <v>43.059199999999997</v>
      </c>
      <c r="M64" s="50">
        <v>43.059199999999997</v>
      </c>
      <c r="N64" s="50">
        <v>43.059199999999997</v>
      </c>
      <c r="O64" s="50">
        <v>43.059199999999997</v>
      </c>
      <c r="P64" s="73">
        <v>43.059199999999997</v>
      </c>
      <c r="Q64" s="50">
        <v>63.668199999999999</v>
      </c>
      <c r="R64" s="50">
        <v>63.668199999999999</v>
      </c>
      <c r="S64" s="50">
        <v>63.668199999999999</v>
      </c>
      <c r="T64" s="50">
        <v>63.668199999999999</v>
      </c>
      <c r="U64" s="50">
        <v>63.668199999999999</v>
      </c>
      <c r="V64" s="50">
        <v>63.668199999999999</v>
      </c>
      <c r="W64" s="73">
        <v>63.668199999999999</v>
      </c>
      <c r="X64" s="50">
        <v>84.277199999999993</v>
      </c>
      <c r="Y64" s="50">
        <v>84.277199999999993</v>
      </c>
      <c r="Z64" s="50">
        <v>84.277199999999993</v>
      </c>
      <c r="AA64" s="50">
        <v>84.277199999999993</v>
      </c>
      <c r="AB64" s="50">
        <v>84.277199999999993</v>
      </c>
      <c r="AC64" s="50">
        <v>84.277199999999993</v>
      </c>
      <c r="AD64" s="73">
        <v>84.277199999999993</v>
      </c>
      <c r="AE64" s="50">
        <v>104.8862</v>
      </c>
      <c r="AF64" s="50">
        <v>104.8862</v>
      </c>
      <c r="AG64" s="2">
        <v>104.8862</v>
      </c>
      <c r="AH64" s="2">
        <v>104.8862</v>
      </c>
      <c r="AI64" s="2">
        <v>104.8862</v>
      </c>
      <c r="AJ64" s="2">
        <v>104.8862</v>
      </c>
      <c r="AK64" s="11">
        <v>104.8862</v>
      </c>
    </row>
    <row r="65" spans="2:37" x14ac:dyDescent="0.2">
      <c r="C65" s="2"/>
      <c r="D65" s="6"/>
      <c r="E65" s="2"/>
      <c r="F65" s="2"/>
      <c r="G65" s="2"/>
      <c r="H65" s="2"/>
      <c r="I65" s="11"/>
      <c r="J65" s="2"/>
      <c r="K65" s="2"/>
      <c r="L65" s="2"/>
      <c r="M65" s="2"/>
      <c r="N65" s="2"/>
      <c r="O65" s="2"/>
      <c r="P65" s="11"/>
      <c r="Q65" s="2"/>
      <c r="R65" s="2"/>
      <c r="S65" s="2"/>
      <c r="T65" s="2"/>
      <c r="U65" s="2"/>
      <c r="V65" s="2"/>
      <c r="W65" s="11"/>
      <c r="X65" s="2"/>
      <c r="Y65" s="2"/>
      <c r="Z65" s="2"/>
      <c r="AA65" s="2"/>
      <c r="AB65" s="2"/>
      <c r="AC65" s="2"/>
      <c r="AD65" s="11"/>
      <c r="AE65" s="2"/>
      <c r="AF65" s="2"/>
      <c r="AG65" s="2"/>
      <c r="AH65" s="2"/>
      <c r="AI65" s="2"/>
      <c r="AJ65" s="2"/>
      <c r="AK65" s="11"/>
    </row>
    <row r="69" spans="2:37" x14ac:dyDescent="0.2">
      <c r="H69" s="3"/>
      <c r="I69" s="67"/>
      <c r="J69" s="3"/>
      <c r="K69" s="3"/>
      <c r="L69" s="3"/>
      <c r="M69" s="3"/>
      <c r="N69" s="3"/>
      <c r="O69" s="3"/>
      <c r="P69" s="67"/>
      <c r="Q69" s="3"/>
      <c r="R69" s="3"/>
      <c r="S69" s="3"/>
      <c r="U69" s="3"/>
      <c r="V69" s="3"/>
      <c r="W69" s="67"/>
      <c r="X69" s="3"/>
      <c r="Y69" s="3"/>
      <c r="Z69" s="3"/>
      <c r="AB69" s="3"/>
      <c r="AC69" s="3"/>
      <c r="AD69" s="67"/>
      <c r="AE69" s="3"/>
      <c r="AF69" s="3"/>
      <c r="AG69" s="3"/>
      <c r="AH69" s="3"/>
    </row>
    <row r="70" spans="2:37" x14ac:dyDescent="0.2">
      <c r="K70" s="3"/>
      <c r="L70" s="3"/>
      <c r="M70" s="3"/>
      <c r="N70" s="3"/>
      <c r="O70" s="1"/>
      <c r="P70" s="68"/>
      <c r="Q70" s="1"/>
      <c r="R70" s="1"/>
      <c r="S70" s="1"/>
      <c r="U70" s="3"/>
      <c r="V70" s="3"/>
      <c r="W70" s="67"/>
      <c r="X70" s="3"/>
      <c r="Y70" s="3"/>
      <c r="Z70" s="3"/>
      <c r="AB70" s="3"/>
      <c r="AC70" s="3"/>
      <c r="AD70" s="67"/>
      <c r="AE70" s="3"/>
      <c r="AF70" s="3"/>
      <c r="AG70" s="3"/>
      <c r="AH70" s="3"/>
    </row>
    <row r="71" spans="2:37" x14ac:dyDescent="0.2">
      <c r="K71" s="3"/>
      <c r="L71" s="3"/>
      <c r="M71" s="3"/>
      <c r="N71" s="3"/>
      <c r="O71" s="1"/>
      <c r="P71" s="68"/>
      <c r="Q71" s="1"/>
      <c r="R71" s="1"/>
      <c r="S71" s="1"/>
      <c r="U71" s="3"/>
      <c r="V71" s="3"/>
      <c r="W71" s="67"/>
      <c r="X71" s="3"/>
      <c r="Y71" s="3"/>
      <c r="Z71" s="3"/>
      <c r="AB71" s="3"/>
      <c r="AC71" s="3"/>
      <c r="AD71" s="67"/>
      <c r="AE71" s="3"/>
      <c r="AF71" s="3"/>
      <c r="AG71" s="3"/>
      <c r="AH71" s="3"/>
    </row>
    <row r="72" spans="2:37" x14ac:dyDescent="0.2">
      <c r="K72" s="3"/>
      <c r="L72" s="3"/>
      <c r="M72" s="3"/>
      <c r="N72" s="3"/>
      <c r="O72" s="1"/>
      <c r="P72" s="68"/>
      <c r="Q72" s="1"/>
      <c r="R72" s="1"/>
      <c r="S72" s="1"/>
      <c r="U72" s="3"/>
      <c r="V72" s="3"/>
      <c r="W72" s="67"/>
      <c r="X72" s="3"/>
      <c r="Y72" s="3"/>
      <c r="Z72" s="3"/>
      <c r="AB72" s="3"/>
      <c r="AC72" s="3"/>
      <c r="AD72" s="67"/>
      <c r="AE72" s="3"/>
      <c r="AF72" s="3"/>
      <c r="AG72" s="3"/>
      <c r="AH72" s="3"/>
    </row>
    <row r="73" spans="2:37" x14ac:dyDescent="0.2">
      <c r="K73" s="3"/>
      <c r="L73" s="3"/>
      <c r="M73" s="3"/>
      <c r="N73" s="3"/>
      <c r="O73" s="1"/>
      <c r="P73" s="68"/>
      <c r="Q73" s="1"/>
      <c r="R73" s="1"/>
      <c r="S73" s="1"/>
      <c r="U73" s="3"/>
      <c r="V73" s="3"/>
      <c r="W73" s="67"/>
      <c r="X73" s="3"/>
      <c r="Y73" s="3"/>
      <c r="Z73" s="3"/>
      <c r="AB73" s="3"/>
      <c r="AC73" s="3"/>
      <c r="AD73" s="67"/>
      <c r="AE73" s="3"/>
      <c r="AF73" s="3"/>
      <c r="AG73" s="3"/>
      <c r="AH73" s="3"/>
    </row>
    <row r="74" spans="2:37" s="4" customFormat="1" x14ac:dyDescent="0.2">
      <c r="B74" s="74"/>
      <c r="I74" s="74"/>
      <c r="K74" s="5"/>
      <c r="L74" s="5"/>
      <c r="M74" s="5"/>
      <c r="N74" s="5"/>
      <c r="O74" s="1"/>
      <c r="P74" s="68"/>
      <c r="Q74" s="1"/>
      <c r="R74" s="1"/>
      <c r="S74" s="1"/>
      <c r="U74" s="5"/>
      <c r="V74" s="5"/>
      <c r="W74" s="76"/>
      <c r="X74" s="5"/>
      <c r="Y74" s="5"/>
      <c r="Z74" s="5"/>
      <c r="AB74" s="5"/>
      <c r="AC74" s="5"/>
      <c r="AD74" s="76"/>
      <c r="AE74" s="5"/>
      <c r="AF74" s="5"/>
      <c r="AG74" s="5"/>
      <c r="AH74" s="5"/>
      <c r="AK74" s="74"/>
    </row>
    <row r="75" spans="2:37" x14ac:dyDescent="0.2">
      <c r="K75" s="3"/>
      <c r="L75" s="3"/>
      <c r="M75" s="3"/>
      <c r="N75" s="3"/>
      <c r="O75" s="1"/>
      <c r="P75" s="68"/>
      <c r="Q75" s="1"/>
      <c r="R75" s="1"/>
      <c r="S75" s="1"/>
      <c r="U75" s="3"/>
      <c r="V75" s="3"/>
      <c r="W75" s="67"/>
      <c r="X75" s="3"/>
      <c r="Y75" s="3"/>
      <c r="Z75" s="3"/>
      <c r="AB75" s="3"/>
      <c r="AC75" s="3"/>
      <c r="AD75" s="67"/>
      <c r="AE75" s="3"/>
      <c r="AF75" s="3"/>
      <c r="AG75" s="3"/>
      <c r="AH75" s="3"/>
    </row>
    <row r="76" spans="2:37" x14ac:dyDescent="0.2">
      <c r="K76" s="3"/>
      <c r="L76" s="3"/>
      <c r="M76" s="3"/>
      <c r="N76" s="3"/>
      <c r="O76" s="1"/>
      <c r="P76" s="68"/>
      <c r="Q76" s="1"/>
      <c r="R76" s="1"/>
      <c r="S76" s="1"/>
      <c r="U76" s="3"/>
      <c r="V76" s="3"/>
      <c r="W76" s="67"/>
      <c r="X76" s="3"/>
      <c r="Y76" s="3"/>
      <c r="Z76" s="3"/>
      <c r="AB76" s="3"/>
      <c r="AC76" s="3"/>
      <c r="AD76" s="67"/>
      <c r="AE76" s="3"/>
      <c r="AF76" s="3"/>
      <c r="AG76" s="3"/>
      <c r="AH76" s="3"/>
    </row>
    <row r="77" spans="2:37" x14ac:dyDescent="0.2">
      <c r="K77" s="3"/>
      <c r="L77" s="3"/>
      <c r="M77" s="3"/>
      <c r="N77" s="3"/>
      <c r="O77" s="1"/>
      <c r="P77" s="68"/>
      <c r="Q77" s="1"/>
      <c r="R77" s="1"/>
      <c r="S77" s="1"/>
      <c r="U77" s="3"/>
      <c r="V77" s="3"/>
      <c r="W77" s="67"/>
      <c r="X77" s="3"/>
      <c r="Y77" s="3"/>
      <c r="Z77" s="3"/>
      <c r="AB77" s="3"/>
      <c r="AC77" s="3"/>
      <c r="AD77" s="67"/>
      <c r="AE77" s="3"/>
      <c r="AF77" s="3"/>
      <c r="AG77" s="3"/>
      <c r="AH77" s="3"/>
    </row>
    <row r="78" spans="2:37" x14ac:dyDescent="0.2">
      <c r="K78" s="3"/>
      <c r="L78" s="3"/>
      <c r="M78" s="3"/>
      <c r="N78" s="3"/>
      <c r="O78" s="1"/>
      <c r="P78" s="68"/>
      <c r="Q78" s="1"/>
      <c r="R78" s="1"/>
      <c r="S78" s="1"/>
      <c r="T78" s="3"/>
      <c r="U78" s="3"/>
      <c r="V78" s="3"/>
      <c r="W78" s="67"/>
      <c r="X78" s="3"/>
      <c r="Y78" s="3"/>
      <c r="Z78" s="3"/>
      <c r="AA78" s="3"/>
      <c r="AB78" s="3"/>
      <c r="AC78" s="3"/>
      <c r="AD78" s="67"/>
      <c r="AE78" s="3"/>
      <c r="AF78" s="3"/>
      <c r="AG78" s="3"/>
      <c r="AH78" s="3"/>
    </row>
    <row r="79" spans="2:37" x14ac:dyDescent="0.2">
      <c r="O79" s="1"/>
      <c r="P79" s="68"/>
      <c r="Q79" s="1"/>
      <c r="R79" s="1"/>
      <c r="S79" s="1"/>
    </row>
    <row r="81" spans="2:37" s="1" customFormat="1" x14ac:dyDescent="0.2">
      <c r="B81" s="68"/>
      <c r="I81" s="68"/>
      <c r="P81" s="68"/>
      <c r="W81" s="68"/>
      <c r="AD81" s="68"/>
      <c r="AK81" s="68"/>
    </row>
    <row r="88" spans="2:37" x14ac:dyDescent="0.2">
      <c r="J88" s="2"/>
    </row>
    <row r="89" spans="2:37" x14ac:dyDescent="0.2">
      <c r="J89" s="6"/>
    </row>
  </sheetData>
  <conditionalFormatting sqref="C13:I14">
    <cfRule type="cellIs" dxfId="1" priority="2" operator="equal">
      <formula>"""NO"""</formula>
    </cfRule>
  </conditionalFormatting>
  <conditionalFormatting sqref="J13:AK14">
    <cfRule type="cellIs" dxfId="0" priority="1" operator="equal">
      <formula>$AM$3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"/>
  <sheetViews>
    <sheetView tabSelected="1" topLeftCell="A4" zoomScale="110" zoomScaleNormal="110" workbookViewId="0">
      <selection activeCell="Q100" sqref="Q100"/>
    </sheetView>
  </sheetViews>
  <sheetFormatPr defaultRowHeight="12.75" x14ac:dyDescent="0.2"/>
  <cols>
    <col min="1" max="1" width="15.5703125" customWidth="1"/>
    <col min="2" max="6" width="10.5703125" bestFit="1" customWidth="1"/>
  </cols>
  <sheetData>
    <row r="1" spans="1:6" x14ac:dyDescent="0.2">
      <c r="B1" t="s">
        <v>46</v>
      </c>
    </row>
    <row r="2" spans="1:6" x14ac:dyDescent="0.2">
      <c r="B2" s="98" t="s">
        <v>47</v>
      </c>
      <c r="C2" s="98" t="s">
        <v>48</v>
      </c>
      <c r="D2" s="98" t="s">
        <v>49</v>
      </c>
      <c r="E2" s="98" t="s">
        <v>50</v>
      </c>
      <c r="F2" s="98" t="s">
        <v>51</v>
      </c>
    </row>
    <row r="3" spans="1:6" x14ac:dyDescent="0.2">
      <c r="A3" s="8" t="s">
        <v>52</v>
      </c>
      <c r="B3" s="59">
        <f>'15 Dec Update'!C16</f>
        <v>838.86163120969377</v>
      </c>
      <c r="C3" s="66">
        <f>'15 Dec Update'!J16</f>
        <v>967.4538421029448</v>
      </c>
      <c r="D3" s="53">
        <f>'15 Dec Update'!Q16</f>
        <v>803.83964589644484</v>
      </c>
      <c r="E3" s="61">
        <f>'15 Dec Update'!X16</f>
        <v>739.54942732976679</v>
      </c>
      <c r="F3" s="61">
        <f>'15 Dec Update'!AE16</f>
        <v>701.60650451950414</v>
      </c>
    </row>
    <row r="4" spans="1:6" x14ac:dyDescent="0.2">
      <c r="A4" s="8" t="s">
        <v>53</v>
      </c>
      <c r="B4" s="59">
        <f>'15 Dec Update'!D16</f>
        <v>88.538983475245615</v>
      </c>
      <c r="C4" s="53">
        <f>'15 Dec Update'!K16</f>
        <v>76.263283107907469</v>
      </c>
      <c r="D4" s="53">
        <f>'15 Dec Update'!R16</f>
        <v>62.773606635651291</v>
      </c>
      <c r="E4" s="61">
        <f>'15 Dec Update'!Y16</f>
        <v>54.849121755350822</v>
      </c>
      <c r="F4" s="61">
        <f>'15 Dec Update'!AF16</f>
        <v>49.179609824743487</v>
      </c>
    </row>
    <row r="5" spans="1:6" x14ac:dyDescent="0.2">
      <c r="A5" s="8" t="s">
        <v>54</v>
      </c>
      <c r="B5" s="59">
        <f>'15 Dec Update'!E16</f>
        <v>22738.545241499298</v>
      </c>
      <c r="C5" s="53">
        <f>'15 Dec Update'!L16</f>
        <v>17488.604661660389</v>
      </c>
      <c r="D5" s="53">
        <f>'15 Dec Update'!S16</f>
        <v>16256.691316541281</v>
      </c>
      <c r="E5" s="59">
        <f>'15 Dec Update'!Z16</f>
        <v>15396.109674625777</v>
      </c>
      <c r="F5" s="59">
        <f>'15 Dec Update'!AG16</f>
        <v>14698.818395978189</v>
      </c>
    </row>
    <row r="6" spans="1:6" x14ac:dyDescent="0.2">
      <c r="A6" s="8" t="s">
        <v>55</v>
      </c>
      <c r="B6" s="59">
        <f>'15 Dec Update'!F16</f>
        <v>8294.5685928578987</v>
      </c>
      <c r="C6" s="53">
        <f>'15 Dec Update'!M16</f>
        <v>1620.8878257286524</v>
      </c>
      <c r="D6" s="53">
        <f>'15 Dec Update'!T16</f>
        <v>231.36468999125464</v>
      </c>
      <c r="E6" s="61">
        <f>'15 Dec Update'!AA16</f>
        <v>-517.15461812451031</v>
      </c>
      <c r="F6" s="59">
        <f>'15 Dec Update'!AH16</f>
        <v>-1018.8119107427356</v>
      </c>
    </row>
    <row r="7" spans="1:6" x14ac:dyDescent="0.2">
      <c r="A7" s="8" t="s">
        <v>56</v>
      </c>
      <c r="B7" s="59">
        <f>'15 Dec Update'!G16</f>
        <v>8142.3816382154291</v>
      </c>
      <c r="C7" s="66">
        <f>'15 Dec Update'!N16</f>
        <v>-2980.8160354765059</v>
      </c>
      <c r="D7" s="53">
        <f>'15 Dec Update'!U16</f>
        <v>-2715.4532802277972</v>
      </c>
      <c r="E7" s="59">
        <f>'15 Dec Update'!AB16</f>
        <v>-2683.5225884689589</v>
      </c>
      <c r="F7" s="59">
        <f>'15 Dec Update'!AI16</f>
        <v>-2970.3168386206344</v>
      </c>
    </row>
    <row r="8" spans="1:6" x14ac:dyDescent="0.2">
      <c r="A8" s="8" t="s">
        <v>6</v>
      </c>
      <c r="B8" s="59">
        <f>'15 Dec Update'!H16</f>
        <v>26589.909286571739</v>
      </c>
      <c r="C8" s="53">
        <f>'15 Dec Update'!O16</f>
        <v>24675.79196184656</v>
      </c>
      <c r="D8" s="53">
        <f>'15 Dec Update'!V16</f>
        <v>24315.975764313011</v>
      </c>
      <c r="E8" s="59">
        <f>'15 Dec Update'!AC16</f>
        <v>23757.981985963928</v>
      </c>
      <c r="F8" s="59">
        <f>'15 Dec Update'!AJ16</f>
        <v>23220.192476689292</v>
      </c>
    </row>
    <row r="9" spans="1:6" x14ac:dyDescent="0.2">
      <c r="A9" s="8" t="s">
        <v>57</v>
      </c>
      <c r="B9" s="59">
        <f>'15 Dec Update'!I16</f>
        <v>66692.805373829295</v>
      </c>
      <c r="C9" s="53">
        <f>'15 Dec Update'!P16</f>
        <v>42018.543974741246</v>
      </c>
      <c r="D9" s="53">
        <f>'15 Dec Update'!W16</f>
        <v>38552.261239023588</v>
      </c>
      <c r="E9" s="59">
        <f>'15 Dec Update'!AD16</f>
        <v>36037.723537304104</v>
      </c>
      <c r="F9" s="59">
        <f>'15 Dec Update'!AK16</f>
        <v>33922.652880505906</v>
      </c>
    </row>
    <row r="11" spans="1:6" x14ac:dyDescent="0.2">
      <c r="A11" t="s">
        <v>58</v>
      </c>
      <c r="B11" s="59">
        <f>SUM(B3:B8)</f>
        <v>66692.805373829309</v>
      </c>
      <c r="C11" s="59">
        <f t="shared" ref="C11:F11" si="0">SUM(C3:C8)</f>
        <v>41848.185538969949</v>
      </c>
      <c r="D11" s="59">
        <f t="shared" si="0"/>
        <v>38955.191743149844</v>
      </c>
      <c r="E11" s="59">
        <f t="shared" si="0"/>
        <v>36747.813003081355</v>
      </c>
      <c r="F11" s="59">
        <f t="shared" si="0"/>
        <v>34680.668237648359</v>
      </c>
    </row>
    <row r="12" spans="1:6" x14ac:dyDescent="0.2">
      <c r="A12" s="8" t="s">
        <v>59</v>
      </c>
      <c r="B12" s="59">
        <f>B9-B11</f>
        <v>0</v>
      </c>
      <c r="C12" s="59">
        <f t="shared" ref="C12:F12" si="1">C9-C11</f>
        <v>170.35843577129708</v>
      </c>
      <c r="D12" s="59">
        <f t="shared" si="1"/>
        <v>-402.93050412625598</v>
      </c>
      <c r="E12" s="59">
        <f t="shared" si="1"/>
        <v>-710.08946577725146</v>
      </c>
      <c r="F12" s="59">
        <f t="shared" si="1"/>
        <v>-758.01535714245256</v>
      </c>
    </row>
    <row r="14" spans="1:6" x14ac:dyDescent="0.2">
      <c r="B14" t="s">
        <v>47</v>
      </c>
      <c r="C14" t="s">
        <v>48</v>
      </c>
      <c r="D14" t="s">
        <v>49</v>
      </c>
      <c r="E14" t="s">
        <v>50</v>
      </c>
      <c r="F14" t="s">
        <v>51</v>
      </c>
    </row>
    <row r="15" spans="1:6" x14ac:dyDescent="0.2">
      <c r="A15" t="s">
        <v>52</v>
      </c>
      <c r="B15" s="53">
        <v>838.86163120969377</v>
      </c>
      <c r="C15" s="53">
        <v>967.4538421029448</v>
      </c>
      <c r="D15" s="53">
        <v>803.83964589644484</v>
      </c>
      <c r="E15" s="53">
        <v>739.54942732976679</v>
      </c>
      <c r="F15" s="53">
        <v>701.60650451950414</v>
      </c>
    </row>
    <row r="16" spans="1:6" x14ac:dyDescent="0.2">
      <c r="A16" t="s">
        <v>53</v>
      </c>
      <c r="B16" s="53">
        <v>88.538983475245615</v>
      </c>
      <c r="C16" s="53">
        <v>76.263283107907469</v>
      </c>
      <c r="D16" s="53">
        <v>62.773606635651291</v>
      </c>
      <c r="E16" s="53">
        <v>54.849121755350822</v>
      </c>
      <c r="F16" s="53">
        <v>49.179609824743487</v>
      </c>
    </row>
    <row r="17" spans="1:6" x14ac:dyDescent="0.2">
      <c r="A17" t="s">
        <v>55</v>
      </c>
      <c r="B17" s="53">
        <v>8294.5685928578987</v>
      </c>
      <c r="C17" s="53">
        <v>1620.8878257286524</v>
      </c>
      <c r="D17" s="53">
        <v>231.36468999125464</v>
      </c>
      <c r="E17" s="53">
        <v>-517.15461812451031</v>
      </c>
      <c r="F17" s="53">
        <v>-1018.8119107427356</v>
      </c>
    </row>
    <row r="18" spans="1:6" x14ac:dyDescent="0.2">
      <c r="A18" t="s">
        <v>56</v>
      </c>
      <c r="B18" s="53">
        <v>8142.3816382154291</v>
      </c>
      <c r="C18" s="53">
        <v>-2980.8160354765059</v>
      </c>
      <c r="D18" s="53">
        <v>-2715.4532802277972</v>
      </c>
      <c r="E18" s="53">
        <v>-2683.5225884689589</v>
      </c>
      <c r="F18" s="53">
        <v>-2970.3168386206344</v>
      </c>
    </row>
    <row r="20" spans="1:6" x14ac:dyDescent="0.2">
      <c r="B20" s="53"/>
      <c r="C20" s="53"/>
      <c r="D20" s="53"/>
      <c r="E20" s="53"/>
      <c r="F20" s="53"/>
    </row>
    <row r="21" spans="1:6" x14ac:dyDescent="0.2">
      <c r="B21" s="53"/>
      <c r="C21" s="53"/>
      <c r="D21" s="53"/>
      <c r="E21" s="53"/>
      <c r="F21" s="53"/>
    </row>
    <row r="46" spans="1:3" x14ac:dyDescent="0.2">
      <c r="A46" s="128" t="s">
        <v>53</v>
      </c>
      <c r="B46" s="128"/>
      <c r="C46" s="128"/>
    </row>
    <row r="47" spans="1:3" ht="25.5" x14ac:dyDescent="0.2">
      <c r="A47" s="110" t="s">
        <v>60</v>
      </c>
      <c r="B47" s="111" t="s">
        <v>61</v>
      </c>
      <c r="C47" s="111" t="s">
        <v>62</v>
      </c>
    </row>
    <row r="48" spans="1:3" x14ac:dyDescent="0.2">
      <c r="A48" s="123">
        <v>0</v>
      </c>
      <c r="B48" s="112">
        <v>0</v>
      </c>
      <c r="C48" s="113">
        <f>'15 Dec Update'!D19</f>
        <v>0.46007558501394485</v>
      </c>
    </row>
    <row r="49" spans="1:3" x14ac:dyDescent="0.2">
      <c r="A49" s="114">
        <v>5.0000000000000001E-3</v>
      </c>
      <c r="B49" s="112">
        <f>('15 Dec Update'!D32-'15 Dec Update'!K5)*10</f>
        <v>1.7506529999999998</v>
      </c>
      <c r="C49" s="113">
        <f>'15 Dec Update'!K19</f>
        <v>0.25763989294042666</v>
      </c>
    </row>
    <row r="50" spans="1:3" x14ac:dyDescent="0.2">
      <c r="A50" s="114">
        <v>0.01</v>
      </c>
      <c r="B50" s="112">
        <f>('15 Dec Update'!D5-'15 Dec Update'!R5)*10</f>
        <v>3.5013059999999996</v>
      </c>
      <c r="C50" s="113">
        <f>'15 Dec Update'!R19</f>
        <v>3.5184805996888002E-2</v>
      </c>
    </row>
    <row r="51" spans="1:3" x14ac:dyDescent="0.2">
      <c r="A51" s="114">
        <v>1.4999999999999999E-2</v>
      </c>
      <c r="B51" s="112">
        <f>('15 Dec Update'!D5-'15 Dec Update'!Y5)*10</f>
        <v>5.2519589999999994</v>
      </c>
      <c r="C51" s="113">
        <f>'15 Dec Update'!Y19</f>
        <v>-9.54960132692807E-2</v>
      </c>
    </row>
    <row r="52" spans="1:3" x14ac:dyDescent="0.2">
      <c r="A52" s="114">
        <v>0.02</v>
      </c>
      <c r="B52" s="112">
        <f>('15 Dec Update'!D5-'15 Dec Update'!AF5)*10</f>
        <v>7.0026119999999992</v>
      </c>
      <c r="C52" s="113">
        <f>'15 Dec Update'!AF19</f>
        <v>-0.18899060315396621</v>
      </c>
    </row>
    <row r="75" spans="1:3" x14ac:dyDescent="0.2">
      <c r="A75" s="129" t="s">
        <v>52</v>
      </c>
      <c r="B75" s="129"/>
      <c r="C75" s="129"/>
    </row>
    <row r="76" spans="1:3" ht="25.5" x14ac:dyDescent="0.2">
      <c r="A76" s="105" t="s">
        <v>60</v>
      </c>
      <c r="B76" s="106" t="s">
        <v>61</v>
      </c>
      <c r="C76" s="106" t="s">
        <v>62</v>
      </c>
    </row>
    <row r="77" spans="1:3" x14ac:dyDescent="0.2">
      <c r="A77" s="109">
        <v>0</v>
      </c>
      <c r="B77" s="107">
        <v>0</v>
      </c>
      <c r="C77" s="108">
        <f>'15 Dec Update'!C19</f>
        <v>1.0214994607072647</v>
      </c>
    </row>
    <row r="78" spans="1:3" x14ac:dyDescent="0.2">
      <c r="A78" s="109">
        <v>5.0000000000000001E-3</v>
      </c>
      <c r="B78" s="107">
        <f>A78*'15 Dec Update'!$C$4*10</f>
        <v>9.9180450000000011</v>
      </c>
      <c r="C78" s="108">
        <f>'15 Dec Update'!J19</f>
        <v>1.3313826110392193</v>
      </c>
    </row>
    <row r="79" spans="1:3" x14ac:dyDescent="0.2">
      <c r="A79" s="109">
        <v>0.01</v>
      </c>
      <c r="B79" s="107">
        <f>A79*'15 Dec Update'!$C$4*10</f>
        <v>19.836090000000002</v>
      </c>
      <c r="C79" s="108">
        <f>'15 Dec Update'!Q19</f>
        <v>0.93710303370471304</v>
      </c>
    </row>
    <row r="80" spans="1:3" x14ac:dyDescent="0.2">
      <c r="A80" s="109">
        <v>1.4999999999999999E-2</v>
      </c>
      <c r="B80" s="107">
        <f>A80*'15 Dec Update'!$C$4*10</f>
        <v>29.754135000000002</v>
      </c>
      <c r="C80" s="108">
        <f>'15 Dec Update'!X19</f>
        <v>0.78217564481713553</v>
      </c>
    </row>
    <row r="81" spans="1:3" x14ac:dyDescent="0.2">
      <c r="A81" s="109">
        <v>0.02</v>
      </c>
      <c r="B81" s="107">
        <f>A81*'15 Dec Update'!$C$4*10</f>
        <v>39.672180000000004</v>
      </c>
      <c r="C81" s="108">
        <f>'15 Dec Update'!AE19</f>
        <v>0.69074030537027764</v>
      </c>
    </row>
  </sheetData>
  <mergeCells count="2">
    <mergeCell ref="A46:C46"/>
    <mergeCell ref="A75:C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zoomScale="120" zoomScaleNormal="120" workbookViewId="0">
      <selection activeCell="J12" sqref="J12"/>
    </sheetView>
  </sheetViews>
  <sheetFormatPr defaultRowHeight="12.75" x14ac:dyDescent="0.2"/>
  <cols>
    <col min="2" max="2" width="11.7109375" customWidth="1"/>
    <col min="3" max="3" width="13.140625" customWidth="1"/>
    <col min="4" max="4" width="11.7109375" customWidth="1"/>
    <col min="5" max="5" width="18.7109375" customWidth="1"/>
  </cols>
  <sheetData>
    <row r="1" spans="1:5" ht="25.5" x14ac:dyDescent="0.2">
      <c r="A1" s="8" t="s">
        <v>60</v>
      </c>
      <c r="B1" s="125" t="s">
        <v>63</v>
      </c>
      <c r="C1" s="125" t="s">
        <v>64</v>
      </c>
      <c r="D1" s="125" t="s">
        <v>65</v>
      </c>
      <c r="E1" s="125" t="s">
        <v>66</v>
      </c>
    </row>
    <row r="2" spans="1:5" x14ac:dyDescent="0.2">
      <c r="A2" s="126" t="s">
        <v>47</v>
      </c>
      <c r="B2">
        <f>0</f>
        <v>0</v>
      </c>
      <c r="C2">
        <f>0</f>
        <v>0</v>
      </c>
      <c r="D2">
        <v>0</v>
      </c>
      <c r="E2" t="s">
        <v>67</v>
      </c>
    </row>
    <row r="3" spans="1:5" x14ac:dyDescent="0.2">
      <c r="A3" s="127">
        <v>5.0000000000000001E-3</v>
      </c>
      <c r="B3" s="124">
        <f>'15 Dec Update'!J8+'15 Dec Update'!L8+'15 Dec Update'!O8</f>
        <v>609.32582100000275</v>
      </c>
      <c r="C3" s="6">
        <f>-('15 Dec Update'!K8+'15 Dec Update'!M8+'15 Dec Update'!N8)</f>
        <v>616.37719499999889</v>
      </c>
      <c r="D3" s="51">
        <f>B3-C3</f>
        <v>-7.0513739999961444</v>
      </c>
      <c r="E3" t="s">
        <v>68</v>
      </c>
    </row>
    <row r="4" spans="1:5" x14ac:dyDescent="0.2">
      <c r="A4" s="127">
        <v>0.01</v>
      </c>
      <c r="B4" s="6">
        <f>'15 Dec Update'!Q8+'15 Dec Update'!S8+'15 Dec Update'!V8</f>
        <v>950.8980419999989</v>
      </c>
      <c r="C4" s="6">
        <f>-('15 Dec Update'!R8+'15 Dec Update'!T8+'15 Dec Update'!U8)</f>
        <v>924.63038999999435</v>
      </c>
      <c r="D4" s="51">
        <f>B4-C4</f>
        <v>26.267652000004546</v>
      </c>
      <c r="E4" t="s">
        <v>69</v>
      </c>
    </row>
    <row r="5" spans="1:5" x14ac:dyDescent="0.2">
      <c r="A5" s="127">
        <v>1.4999999999999999E-2</v>
      </c>
      <c r="B5" s="51">
        <f>'15 Dec Update'!X8+'15 Dec Update'!Z8+'15 Dec Update'!AC8</f>
        <v>1289.5218630000027</v>
      </c>
      <c r="C5" s="51">
        <f>-('15 Dec Update'!Y8+'15 Dec Update'!AA8+'15 Dec Update'!AB8)</f>
        <v>1228.6391849999964</v>
      </c>
      <c r="D5" s="51">
        <f>B5-C5</f>
        <v>60.882678000006308</v>
      </c>
      <c r="E5" t="s">
        <v>69</v>
      </c>
    </row>
    <row r="6" spans="1:5" x14ac:dyDescent="0.2">
      <c r="A6" s="127">
        <v>0.02</v>
      </c>
      <c r="B6" s="51">
        <f>'15 Dec Update'!AE8+'15 Dec Update'!AG8+'15 Dec Update'!AJ8</f>
        <v>1622.9940840000031</v>
      </c>
      <c r="C6" s="51">
        <f>-('15 Dec Update'!AF8+'15 Dec Update'!AH8+'15 Dec Update'!AI8)</f>
        <v>1541.9629799999955</v>
      </c>
      <c r="D6" s="51">
        <f>B6-C6</f>
        <v>81.031104000007645</v>
      </c>
      <c r="E6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a6f171-52cb-4404-b47d-af1c8daf8fd1">ECM-1957364731-174791</_dlc_DocId>
    <_dlc_DocIdUrl xmlns="58a6f171-52cb-4404-b47d-af1c8daf8fd1">
      <Url>https://ministryforenvironment.sharepoint.com/sites/ECM-MS-TM/_layouts/15/DocIdRedir.aspx?ID=ECM-1957364731-174791</Url>
      <Description>ECM-1957364731-174791</Description>
    </_dlc_DocIdUrl>
    <TaxCatchAll xmlns="58a6f171-52cb-4404-b47d-af1c8daf8fd1" xsi:nil="true"/>
    <lcf76f155ced4ddcb4097134ff3c332f xmlns="8670e516-b8ce-4d0b-944a-cee4985e1002">
      <Terms xmlns="http://schemas.microsoft.com/office/infopath/2007/PartnerControls"/>
    </lcf76f155ced4ddcb4097134ff3c332f>
    <MfE_ECM_SecurityLevel xmlns="f3702602-1923-414e-b8fa-1cf1166a04f9" xsi:nil="true"/>
    <MfE_ECM_TMID xmlns="f3702602-1923-414e-b8fa-1cf1166a04f9" xsi:nil="true"/>
    <MfE_ECM_SubSecurityLevel xmlns="f3702602-1923-414e-b8fa-1cf1166a04f9" xsi:nil="true"/>
    <_ip_UnifiedCompliancePolicyUIAction xmlns="http://schemas.microsoft.com/sharepoint/v3" xsi:nil="true"/>
    <Inscope xmlns="8670e516-b8ce-4d0b-944a-cee4985e1002" xsi:nil="true"/>
    <MfE_ECM_Directorate xmlns="f3702602-1923-414e-b8fa-1cf1166a04f9" xsi:nil="true"/>
    <MfE_ECM_Director xmlns="f3702602-1923-414e-b8fa-1cf1166a04f9" xsi:nil="true"/>
    <InScope_x003f_ xmlns="8670e516-b8ce-4d0b-944a-cee4985e1002" xsi:nil="true"/>
    <Agency xmlns="62f1fba9-5276-4610-b149-ea9653848854" xsi:nil="true"/>
    <MfE_ECM_PageCount xmlns="f3702602-1923-414e-b8fa-1cf1166a04f9" xsi:nil="true"/>
    <MfE_ECM_Manager xmlns="f3702602-1923-414e-b8fa-1cf1166a04f9" xsi:nil="true"/>
    <_ip_UnifiedCompliancePolicyProperties xmlns="http://schemas.microsoft.com/sharepoint/v3" xsi:nil="true"/>
    <Releaseinfull_x003f_ xmlns="8670e516-b8ce-4d0b-944a-cee4985e1002" xsi:nil="true"/>
    <Minister xmlns="62f1fba9-5276-4610-b149-ea9653848854" xsi:nil="true"/>
    <Withholdgrounds xmlns="8670e516-b8ce-4d0b-944a-cee4985e1002" xsi:nil="true"/>
    <MfE_ECM_Purpose xmlns="f3702602-1923-414e-b8fa-1cf1166a04f9" xsi:nil="true"/>
    <MfE_ECM_MTSType xmlns="f3702602-1923-414e-b8fa-1cf1166a04f9" xsi:nil="true"/>
    <MfE_ECM_Author xmlns="f3702602-1923-414e-b8fa-1cf1166a04f9" xsi:nil="true"/>
    <_Flow_SignoffStatus xmlns="8670e516-b8ce-4d0b-944a-cee4985e1002" xsi:nil="true"/>
    <MfE_ECM_RequestSummary xmlns="f3702602-1923-414e-b8fa-1cf1166a04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ree Document" ma:contentTypeID="0x01010017373BD072151744BF62D2EC2F5E4683007AA43A2A80FCE5469E535CECA04EF9F2" ma:contentTypeVersion="41" ma:contentTypeDescription="Create a new document." ma:contentTypeScope="" ma:versionID="c9c1d2df3a9cd98396bc3df0da95dabf">
  <xsd:schema xmlns:xsd="http://www.w3.org/2001/XMLSchema" xmlns:xs="http://www.w3.org/2001/XMLSchema" xmlns:p="http://schemas.microsoft.com/office/2006/metadata/properties" xmlns:ns1="http://schemas.microsoft.com/sharepoint/v3" xmlns:ns2="f3702602-1923-414e-b8fa-1cf1166a04f9" xmlns:ns3="62f1fba9-5276-4610-b149-ea9653848854" xmlns:ns4="58a6f171-52cb-4404-b47d-af1c8daf8fd1" xmlns:ns5="8670e516-b8ce-4d0b-944a-cee4985e1002" targetNamespace="http://schemas.microsoft.com/office/2006/metadata/properties" ma:root="true" ma:fieldsID="36c42701d1de28061e3056cb25bc9ab4" ns1:_="" ns2:_="" ns3:_="" ns4:_="" ns5:_="">
    <xsd:import namespace="http://schemas.microsoft.com/sharepoint/v3"/>
    <xsd:import namespace="f3702602-1923-414e-b8fa-1cf1166a04f9"/>
    <xsd:import namespace="62f1fba9-5276-4610-b149-ea9653848854"/>
    <xsd:import namespace="58a6f171-52cb-4404-b47d-af1c8daf8fd1"/>
    <xsd:import namespace="8670e516-b8ce-4d0b-944a-cee4985e1002"/>
    <xsd:element name="properties">
      <xsd:complexType>
        <xsd:sequence>
          <xsd:element name="documentManagement">
            <xsd:complexType>
              <xsd:all>
                <xsd:element ref="ns2:MfE_ECM_TMID" minOccurs="0"/>
                <xsd:element ref="ns2:MfE_ECM_Purpose" minOccurs="0"/>
                <xsd:element ref="ns2:MfE_ECM_RequestSummary" minOccurs="0"/>
                <xsd:element ref="ns3:Minister" minOccurs="0"/>
                <xsd:element ref="ns3:Agency" minOccurs="0"/>
                <xsd:element ref="ns2:MfE_ECM_MTSType" minOccurs="0"/>
                <xsd:element ref="ns2:MfE_ECM_PageCount" minOccurs="0"/>
                <xsd:element ref="ns2:MfE_ECM_Author" minOccurs="0"/>
                <xsd:element ref="ns2:MfE_ECM_Directorate" minOccurs="0"/>
                <xsd:element ref="ns2:MfE_ECM_Manager" minOccurs="0"/>
                <xsd:element ref="ns2:MfE_ECM_Director" minOccurs="0"/>
                <xsd:element ref="ns2:MfE_ECM_SecurityLevel" minOccurs="0"/>
                <xsd:element ref="ns2:MfE_ECM_SubSecurityLevel" minOccurs="0"/>
                <xsd:element ref="ns1:_ip_UnifiedCompliancePolicyProperties" minOccurs="0"/>
                <xsd:element ref="ns4:_dlc_DocIdUrl" minOccurs="0"/>
                <xsd:element ref="ns4:_dlc_DocIdPersistId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Metadata" minOccurs="0"/>
                <xsd:element ref="ns4:_dlc_DocId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lcf76f155ced4ddcb4097134ff3c332f" minOccurs="0"/>
                <xsd:element ref="ns4:TaxCatchAll" minOccurs="0"/>
                <xsd:element ref="ns5:MediaServiceLocation" minOccurs="0"/>
                <xsd:element ref="ns5:InScope_x003f_" minOccurs="0"/>
                <xsd:element ref="ns5:Releaseinfull_x003f_" minOccurs="0"/>
                <xsd:element ref="ns5:Withholdgrounds" minOccurs="0"/>
                <xsd:element ref="ns5:MediaLengthInSeconds" minOccurs="0"/>
                <xsd:element ref="ns5:MediaServiceObjectDetectorVersions" minOccurs="0"/>
                <xsd:element ref="ns5:Inscope" minOccurs="0"/>
                <xsd:element ref="ns5:_Flow_SignoffStatu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02602-1923-414e-b8fa-1cf1166a04f9" elementFormDefault="qualified">
    <xsd:import namespace="http://schemas.microsoft.com/office/2006/documentManagement/types"/>
    <xsd:import namespace="http://schemas.microsoft.com/office/infopath/2007/PartnerControls"/>
    <xsd:element name="MfE_ECM_TMID" ma:index="2" nillable="true" ma:displayName="Identifier" ma:internalName="MfE_ECM_TMID">
      <xsd:simpleType>
        <xsd:restriction base="dms:Text">
          <xsd:maxLength value="20"/>
        </xsd:restriction>
      </xsd:simpleType>
    </xsd:element>
    <xsd:element name="MfE_ECM_Purpose" ma:index="3" nillable="true" ma:displayName="Purpose" ma:description="Seeks decision to delay VCM report back from Nov 22 to Dec 22" ma:format="Dropdown" ma:internalName="MfE_ECM_Purpose">
      <xsd:simpleType>
        <xsd:restriction base="dms:Note">
          <xsd:maxLength value="255"/>
        </xsd:restriction>
      </xsd:simpleType>
    </xsd:element>
    <xsd:element name="MfE_ECM_RequestSummary" ma:index="4" nillable="true" ma:displayName="Request Summary" ma:internalName="MfE_ECM_RequestSummary">
      <xsd:simpleType>
        <xsd:restriction base="dms:Text">
          <xsd:maxLength value="150"/>
        </xsd:restriction>
      </xsd:simpleType>
    </xsd:element>
    <xsd:element name="MfE_ECM_MTSType" ma:index="7" nillable="true" ma:displayName="MTS Type" ma:internalName="MfE_ECM_MTSType">
      <xsd:simpleType>
        <xsd:restriction base="dms:Text">
          <xsd:maxLength value="20"/>
        </xsd:restriction>
      </xsd:simpleType>
    </xsd:element>
    <xsd:element name="MfE_ECM_PageCount" ma:index="8" nillable="true" ma:displayName="Page Count" ma:internalName="MfE_ECM_PageCount">
      <xsd:simpleType>
        <xsd:restriction base="dms:Text">
          <xsd:maxLength value="10"/>
        </xsd:restriction>
      </xsd:simpleType>
    </xsd:element>
    <xsd:element name="MfE_ECM_Author" ma:index="9" nillable="true" ma:displayName="Document Author" ma:internalName="MfE_ECM_Author">
      <xsd:simpleType>
        <xsd:restriction base="dms:Text">
          <xsd:maxLength value="50"/>
        </xsd:restriction>
      </xsd:simpleType>
    </xsd:element>
    <xsd:element name="MfE_ECM_Directorate" ma:index="10" nillable="true" ma:displayName="Directorate" ma:internalName="MfE_ECM_Directorate">
      <xsd:simpleType>
        <xsd:restriction base="dms:Text">
          <xsd:maxLength value="50"/>
        </xsd:restriction>
      </xsd:simpleType>
    </xsd:element>
    <xsd:element name="MfE_ECM_Manager" ma:index="11" nillable="true" ma:displayName="Manager" ma:internalName="MfE_ECM_Manager">
      <xsd:simpleType>
        <xsd:restriction base="dms:Text">
          <xsd:maxLength value="50"/>
        </xsd:restriction>
      </xsd:simpleType>
    </xsd:element>
    <xsd:element name="MfE_ECM_Director" ma:index="12" nillable="true" ma:displayName="Director" ma:internalName="MfE_ECM_Director">
      <xsd:simpleType>
        <xsd:restriction base="dms:Text">
          <xsd:maxLength value="50"/>
        </xsd:restriction>
      </xsd:simpleType>
    </xsd:element>
    <xsd:element name="MfE_ECM_SecurityLevel" ma:index="13" nillable="true" ma:displayName="Security Level" ma:internalName="MfE_ECM_SecurityLevel">
      <xsd:simpleType>
        <xsd:restriction base="dms:Text">
          <xsd:maxLength value="30"/>
        </xsd:restriction>
      </xsd:simpleType>
    </xsd:element>
    <xsd:element name="MfE_ECM_SubSecurityLevel" ma:index="14" nillable="true" ma:displayName="Sub Security Level" ma:internalName="MfE_ECM_SubSecurityLevel">
      <xsd:simpleType>
        <xsd:restriction base="dms:Text">
          <xsd:maxLength value="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1fba9-5276-4610-b149-ea9653848854" elementFormDefault="qualified">
    <xsd:import namespace="http://schemas.microsoft.com/office/2006/documentManagement/types"/>
    <xsd:import namespace="http://schemas.microsoft.com/office/infopath/2007/PartnerControls"/>
    <xsd:element name="Minister" ma:index="5" nillable="true" ma:displayName="Minister" ma:internalName="Minister">
      <xsd:simpleType>
        <xsd:restriction base="dms:Text">
          <xsd:maxLength value="255"/>
        </xsd:restriction>
      </xsd:simpleType>
    </xsd:element>
    <xsd:element name="Agency" ma:index="6" nillable="true" ma:displayName="Agency" ma:internalName="Agency">
      <xsd:simpleType>
        <xsd:restriction base="dms:Text">
          <xsd:maxLength value="255"/>
        </xsd:restriction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6f171-52cb-4404-b47d-af1c8daf8fd1" elementFormDefault="qualified">
    <xsd:import namespace="http://schemas.microsoft.com/office/2006/documentManagement/types"/>
    <xsd:import namespace="http://schemas.microsoft.com/office/infopath/2007/PartnerControls"/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TaxCatchAll" ma:index="39" nillable="true" ma:displayName="Taxonomy Catch All Column" ma:hidden="true" ma:list="{4ccefaf0-83de-4a62-8cc9-ce0546752b78}" ma:internalName="TaxCatchAll" ma:showField="CatchAllData" ma:web="62f1fba9-5276-4610-b149-ea96538488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0e516-b8ce-4d0b-944a-cee4985e1002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cebe92e3-83b2-4842-a6bd-e7cffea926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InScope_x003f_" ma:index="41" nillable="true" ma:displayName="In Scope?" ma:format="Dropdown" ma:internalName="InScope_x003f_">
      <xsd:simpleType>
        <xsd:restriction base="dms:Text">
          <xsd:maxLength value="255"/>
        </xsd:restriction>
      </xsd:simpleType>
    </xsd:element>
    <xsd:element name="Releaseinfull_x003f_" ma:index="42" nillable="true" ma:displayName="Release in full?" ma:format="Dropdown" ma:internalName="Releaseinfull_x003f_">
      <xsd:simpleType>
        <xsd:restriction base="dms:Text">
          <xsd:maxLength value="255"/>
        </xsd:restriction>
      </xsd:simpleType>
    </xsd:element>
    <xsd:element name="Withholdgrounds" ma:index="43" nillable="true" ma:displayName="Withhold grounds" ma:format="Dropdown" ma:internalName="Withholdgrounds">
      <xsd:simpleType>
        <xsd:restriction base="dms:Text">
          <xsd:maxLength value="255"/>
        </xsd:restriction>
      </xsd:simpleType>
    </xsd:element>
    <xsd:element name="MediaLengthInSeconds" ma:index="4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Inscope" ma:index="46" nillable="true" ma:displayName="In scope" ma:format="Dropdown" ma:internalName="Inscope">
      <xsd:simpleType>
        <xsd:restriction base="dms:Text">
          <xsd:maxLength value="255"/>
        </xsd:restriction>
      </xsd:simpleType>
    </xsd:element>
    <xsd:element name="_Flow_SignoffStatus" ma:index="47" nillable="true" ma:displayName="Sign-off status" ma:internalName="Sign_x002d_off_x0020_status">
      <xsd:simpleType>
        <xsd:restriction base="dms:Text"/>
      </xsd:simpleType>
    </xsd:element>
    <xsd:element name="MediaServiceSearchProperties" ma:index="4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4FD2507-BBC3-4ED4-9F80-40BD12C2F4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799AB5-7711-4904-90AA-B165667BBB27}">
  <ds:schemaRefs>
    <ds:schemaRef ds:uri="http://purl.org/dc/elements/1.1/"/>
    <ds:schemaRef ds:uri="http://schemas.microsoft.com/sharepoint/v3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4a94300e-a927-4b92-9d3a-682523035cb6"/>
    <ds:schemaRef ds:uri="58a6f171-52cb-4404-b47d-af1c8daf8fd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79EB6A-BB1B-40DD-B78E-B3B3724B37CB}"/>
</file>

<file path=customXml/itemProps4.xml><?xml version="1.0" encoding="utf-8"?>
<ds:datastoreItem xmlns:ds="http://schemas.openxmlformats.org/officeDocument/2006/customXml" ds:itemID="{F29BCC6E-BCE5-45A1-BBB3-3481B6F14D5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15 Dec Update</vt:lpstr>
      <vt:lpstr>Summary</vt:lpstr>
      <vt:lpstr>buying and selling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dcterms:created xsi:type="dcterms:W3CDTF">2014-12-15T02:40:08Z</dcterms:created>
  <dcterms:modified xsi:type="dcterms:W3CDTF">2024-07-21T21:47:41Z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0x01010017373BD072151744BF62D2EC2F5E4683007AA43A2A80FCE5469E535CECA04EF9F2</vt:lpwstr>
  </property>
  <property fmtid="{D5CDD505-2E9C-101B-9397-08002B2CF9AE}" pid="3" name="File Number">
    <vt:lpwstr>MfE\1.1.1</vt:lpwstr>
  </property>
  <property fmtid="{D5CDD505-2E9C-101B-9397-08002B2CF9AE}" pid="4" name="Order">
    <vt:r8>20800</vt:r8>
  </property>
  <property fmtid="{D5CDD505-2E9C-101B-9397-08002B2CF9AE}" pid="5" name="LivelinkID">
    <vt:lpwstr>7112959</vt:lpwstr>
  </property>
  <property fmtid="{D5CDD505-2E9C-101B-9397-08002B2CF9AE}" pid="6" name="RSI">
    <vt:lpwstr>ARCHIVE 10 YEARS</vt:lpwstr>
  </property>
  <property fmtid="{D5CDD505-2E9C-101B-9397-08002B2CF9AE}" pid="7" name="RM Classification">
    <vt:lpwstr>Policy Development and Advice Records&gt;Policy Development Records&gt;Policy Development MfE Lead</vt:lpwstr>
  </property>
  <property fmtid="{D5CDD505-2E9C-101B-9397-08002B2CF9AE}" pid="8" name="_dlc_DocIdItemGuid">
    <vt:lpwstr>73be8850-cebf-45eb-aa85-d82d2f5cc02f</vt:lpwstr>
  </property>
  <property fmtid="{D5CDD505-2E9C-101B-9397-08002B2CF9AE}" pid="9" name="MediaServiceImageTags">
    <vt:lpwstr/>
  </property>
  <property fmtid="{D5CDD505-2E9C-101B-9397-08002B2CF9AE}" pid="10" name="MSIP_Label_52dda6cc-d61d-4fd2-bf18-9b3017d931cc_Enabled">
    <vt:lpwstr>true</vt:lpwstr>
  </property>
  <property fmtid="{D5CDD505-2E9C-101B-9397-08002B2CF9AE}" pid="11" name="MSIP_Label_52dda6cc-d61d-4fd2-bf18-9b3017d931cc_SetDate">
    <vt:lpwstr>2024-07-11T05:33:39Z</vt:lpwstr>
  </property>
  <property fmtid="{D5CDD505-2E9C-101B-9397-08002B2CF9AE}" pid="12" name="MSIP_Label_52dda6cc-d61d-4fd2-bf18-9b3017d931cc_Method">
    <vt:lpwstr>Privileged</vt:lpwstr>
  </property>
  <property fmtid="{D5CDD505-2E9C-101B-9397-08002B2CF9AE}" pid="13" name="MSIP_Label_52dda6cc-d61d-4fd2-bf18-9b3017d931cc_Name">
    <vt:lpwstr>[UNCLASSIFIED]</vt:lpwstr>
  </property>
  <property fmtid="{D5CDD505-2E9C-101B-9397-08002B2CF9AE}" pid="14" name="MSIP_Label_52dda6cc-d61d-4fd2-bf18-9b3017d931cc_SiteId">
    <vt:lpwstr>761dd003-d4ff-4049-8a72-8549b20fcbb1</vt:lpwstr>
  </property>
  <property fmtid="{D5CDD505-2E9C-101B-9397-08002B2CF9AE}" pid="15" name="MSIP_Label_52dda6cc-d61d-4fd2-bf18-9b3017d931cc_ActionId">
    <vt:lpwstr>6ffb1ac3-06b0-4e13-abcb-40917c55c09e</vt:lpwstr>
  </property>
  <property fmtid="{D5CDD505-2E9C-101B-9397-08002B2CF9AE}" pid="16" name="MSIP_Label_52dda6cc-d61d-4fd2-bf18-9b3017d931cc_ContentBits">
    <vt:lpwstr>0</vt:lpwstr>
  </property>
</Properties>
</file>