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ryforenvironment.sharepoint.com/sites/ECM-MS-TM/Shared Documents/BRF 2023/BRF-3675/"/>
    </mc:Choice>
  </mc:AlternateContent>
  <xr:revisionPtr revIDLastSave="0" documentId="8_{62C7CAC4-4D70-4348-99D7-9C20E2CCFF44}" xr6:coauthVersionLast="47" xr6:coauthVersionMax="47" xr10:uidLastSave="{00000000-0000-0000-0000-000000000000}"/>
  <bookViews>
    <workbookView xWindow="-120" yWindow="-120" windowWidth="29040" windowHeight="15840" xr2:uid="{818B43E7-6862-4EBD-B0AA-7D3530D927E8}"/>
  </bookViews>
  <sheets>
    <sheet name="CDI Financial Profiling" sheetId="1" r:id="rId1"/>
    <sheet name="CDI Financial Profiling (MoF)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F46" i="2"/>
  <c r="F47" i="2" s="1"/>
  <c r="K63" i="2"/>
  <c r="K66" i="2" s="1"/>
  <c r="I63" i="2"/>
  <c r="I66" i="2" s="1"/>
  <c r="G63" i="2"/>
  <c r="G66" i="2" s="1"/>
  <c r="E63" i="2"/>
  <c r="F58" i="2"/>
  <c r="N46" i="2"/>
  <c r="N47" i="2" s="1"/>
  <c r="N48" i="2" s="1"/>
  <c r="L46" i="2"/>
  <c r="L47" i="2" s="1"/>
  <c r="L52" i="2" s="1"/>
  <c r="J46" i="2"/>
  <c r="J47" i="2" s="1"/>
  <c r="J52" i="2" s="1"/>
  <c r="H46" i="2"/>
  <c r="H47" i="2" s="1"/>
  <c r="H52" i="2" s="1"/>
  <c r="H44" i="2"/>
  <c r="H51" i="2" s="1"/>
  <c r="F44" i="2"/>
  <c r="F51" i="2" s="1"/>
  <c r="J43" i="2"/>
  <c r="J42" i="2"/>
  <c r="N41" i="2"/>
  <c r="L41" i="2"/>
  <c r="J41" i="2"/>
  <c r="N40" i="2"/>
  <c r="N44" i="2" s="1"/>
  <c r="N51" i="2" s="1"/>
  <c r="N53" i="2" s="1"/>
  <c r="L40" i="2"/>
  <c r="L44" i="2" s="1"/>
  <c r="L51" i="2" s="1"/>
  <c r="J40" i="2"/>
  <c r="J44" i="2" s="1"/>
  <c r="J51" i="2" s="1"/>
  <c r="N37" i="2"/>
  <c r="L37" i="2"/>
  <c r="J37" i="2"/>
  <c r="H37" i="2"/>
  <c r="F37" i="2"/>
  <c r="N36" i="2"/>
  <c r="L36" i="2"/>
  <c r="J36" i="2"/>
  <c r="H36" i="2"/>
  <c r="F36" i="2"/>
  <c r="N35" i="2"/>
  <c r="L35" i="2"/>
  <c r="J35" i="2"/>
  <c r="H35" i="2"/>
  <c r="F35" i="2"/>
  <c r="N34" i="2"/>
  <c r="L34" i="2"/>
  <c r="J34" i="2"/>
  <c r="H34" i="2"/>
  <c r="F34" i="2"/>
  <c r="N33" i="2"/>
  <c r="L33" i="2"/>
  <c r="J33" i="2"/>
  <c r="F33" i="2"/>
  <c r="F38" i="2" s="1"/>
  <c r="F50" i="2" s="1"/>
  <c r="N32" i="2"/>
  <c r="L32" i="2"/>
  <c r="J32" i="2"/>
  <c r="F32" i="2"/>
  <c r="H32" i="2" s="1"/>
  <c r="N31" i="2"/>
  <c r="N38" i="2" s="1"/>
  <c r="N39" i="2" s="1"/>
  <c r="L31" i="2"/>
  <c r="L38" i="2" s="1"/>
  <c r="L50" i="2" s="1"/>
  <c r="J31" i="2"/>
  <c r="J38" i="2" s="1"/>
  <c r="J50" i="2" s="1"/>
  <c r="H31" i="2"/>
  <c r="F31" i="2"/>
  <c r="D28" i="2"/>
  <c r="N28" i="2" s="1"/>
  <c r="N27" i="2"/>
  <c r="L27" i="2"/>
  <c r="H27" i="2"/>
  <c r="D27" i="2"/>
  <c r="J27" i="2" s="1"/>
  <c r="N26" i="2"/>
  <c r="L26" i="2"/>
  <c r="J26" i="2"/>
  <c r="H26" i="2"/>
  <c r="D26" i="2"/>
  <c r="F26" i="2" s="1"/>
  <c r="D25" i="2"/>
  <c r="J25" i="2" s="1"/>
  <c r="D24" i="2"/>
  <c r="N24" i="2" s="1"/>
  <c r="N23" i="2"/>
  <c r="L23" i="2"/>
  <c r="H23" i="2"/>
  <c r="D23" i="2"/>
  <c r="J23" i="2" s="1"/>
  <c r="N22" i="2"/>
  <c r="L22" i="2"/>
  <c r="J22" i="2"/>
  <c r="H22" i="2"/>
  <c r="D22" i="2"/>
  <c r="F21" i="2"/>
  <c r="D21" i="2"/>
  <c r="J21" i="2" s="1"/>
  <c r="F20" i="2"/>
  <c r="D20" i="2"/>
  <c r="N20" i="2" s="1"/>
  <c r="N19" i="2"/>
  <c r="L19" i="2"/>
  <c r="H19" i="2"/>
  <c r="D19" i="2"/>
  <c r="F22" i="2" s="1"/>
  <c r="N18" i="2"/>
  <c r="L18" i="2"/>
  <c r="J18" i="2"/>
  <c r="H18" i="2"/>
  <c r="D18" i="2"/>
  <c r="F18" i="2" s="1"/>
  <c r="D17" i="2"/>
  <c r="J17" i="2" s="1"/>
  <c r="D16" i="2"/>
  <c r="N16" i="2" s="1"/>
  <c r="N15" i="2"/>
  <c r="L15" i="2"/>
  <c r="H15" i="2"/>
  <c r="D15" i="2"/>
  <c r="J15" i="2" s="1"/>
  <c r="N14" i="2"/>
  <c r="L14" i="2"/>
  <c r="J14" i="2"/>
  <c r="H14" i="2"/>
  <c r="D14" i="2"/>
  <c r="F14" i="2" s="1"/>
  <c r="D13" i="2"/>
  <c r="J13" i="2" s="1"/>
  <c r="D12" i="2"/>
  <c r="N12" i="2" s="1"/>
  <c r="N11" i="2"/>
  <c r="L11" i="2"/>
  <c r="H11" i="2"/>
  <c r="D11" i="2"/>
  <c r="J11" i="2" s="1"/>
  <c r="N10" i="2"/>
  <c r="L10" i="2"/>
  <c r="J10" i="2"/>
  <c r="H10" i="2"/>
  <c r="D10" i="2"/>
  <c r="F10" i="2" s="1"/>
  <c r="D9" i="2"/>
  <c r="J9" i="2" s="1"/>
  <c r="D8" i="2"/>
  <c r="N8" i="2" s="1"/>
  <c r="N7" i="2"/>
  <c r="L7" i="2"/>
  <c r="H7" i="2"/>
  <c r="D7" i="2"/>
  <c r="J7" i="2" s="1"/>
  <c r="N6" i="2"/>
  <c r="L6" i="2"/>
  <c r="J6" i="2"/>
  <c r="H6" i="2"/>
  <c r="D6" i="2"/>
  <c r="F6" i="2" s="1"/>
  <c r="E67" i="1"/>
  <c r="K66" i="1"/>
  <c r="I66" i="1"/>
  <c r="E66" i="1"/>
  <c r="E63" i="1"/>
  <c r="G63" i="1"/>
  <c r="G66" i="1" s="1"/>
  <c r="I63" i="1"/>
  <c r="N55" i="1"/>
  <c r="N48" i="1"/>
  <c r="N39" i="1"/>
  <c r="N30" i="1"/>
  <c r="F46" i="1"/>
  <c r="F9" i="1"/>
  <c r="F27" i="1"/>
  <c r="F26" i="1"/>
  <c r="F17" i="1"/>
  <c r="F11" i="1"/>
  <c r="F7" i="1"/>
  <c r="F6" i="1"/>
  <c r="N8" i="1"/>
  <c r="L8" i="1"/>
  <c r="J8" i="1"/>
  <c r="H8" i="1"/>
  <c r="H9" i="1"/>
  <c r="F8" i="1"/>
  <c r="H18" i="1"/>
  <c r="L18" i="1"/>
  <c r="L17" i="1"/>
  <c r="J18" i="1"/>
  <c r="F18" i="1"/>
  <c r="N18" i="1"/>
  <c r="D18" i="1"/>
  <c r="D8" i="1"/>
  <c r="J53" i="2" l="1"/>
  <c r="L48" i="2"/>
  <c r="F52" i="2"/>
  <c r="L53" i="2"/>
  <c r="H38" i="2"/>
  <c r="H50" i="2" s="1"/>
  <c r="H53" i="2" s="1"/>
  <c r="F9" i="2"/>
  <c r="F17" i="2"/>
  <c r="F25" i="2"/>
  <c r="H9" i="2"/>
  <c r="H17" i="2"/>
  <c r="H25" i="2"/>
  <c r="F8" i="2"/>
  <c r="H28" i="2"/>
  <c r="H8" i="2"/>
  <c r="H29" i="2" s="1"/>
  <c r="L9" i="2"/>
  <c r="H12" i="2"/>
  <c r="L13" i="2"/>
  <c r="H16" i="2"/>
  <c r="L17" i="2"/>
  <c r="H20" i="2"/>
  <c r="L21" i="2"/>
  <c r="H24" i="2"/>
  <c r="L25" i="2"/>
  <c r="J28" i="2"/>
  <c r="F7" i="2"/>
  <c r="J8" i="2"/>
  <c r="N9" i="2"/>
  <c r="N29" i="2" s="1"/>
  <c r="F11" i="2"/>
  <c r="J12" i="2"/>
  <c r="N13" i="2"/>
  <c r="F15" i="2"/>
  <c r="J16" i="2"/>
  <c r="N17" i="2"/>
  <c r="F19" i="2"/>
  <c r="J20" i="2"/>
  <c r="N21" i="2"/>
  <c r="F23" i="2"/>
  <c r="J24" i="2"/>
  <c r="N25" i="2"/>
  <c r="F27" i="2"/>
  <c r="L28" i="2"/>
  <c r="L45" i="2"/>
  <c r="F13" i="2"/>
  <c r="H33" i="2"/>
  <c r="H13" i="2"/>
  <c r="H21" i="2"/>
  <c r="F12" i="2"/>
  <c r="F16" i="2"/>
  <c r="F24" i="2"/>
  <c r="L8" i="2"/>
  <c r="L12" i="2"/>
  <c r="L16" i="2"/>
  <c r="L20" i="2"/>
  <c r="L24" i="2"/>
  <c r="N45" i="2"/>
  <c r="J19" i="2"/>
  <c r="E66" i="2"/>
  <c r="E67" i="2" s="1"/>
  <c r="N33" i="1"/>
  <c r="N34" i="1"/>
  <c r="N35" i="1"/>
  <c r="N36" i="1"/>
  <c r="N37" i="1"/>
  <c r="N32" i="1"/>
  <c r="N31" i="1"/>
  <c r="N46" i="1"/>
  <c r="N47" i="1" s="1"/>
  <c r="N41" i="1"/>
  <c r="N40" i="1"/>
  <c r="N44" i="1" s="1"/>
  <c r="J46" i="1"/>
  <c r="L32" i="1"/>
  <c r="L33" i="1"/>
  <c r="L34" i="1"/>
  <c r="L35" i="1"/>
  <c r="L36" i="1"/>
  <c r="L37" i="1"/>
  <c r="L31" i="1"/>
  <c r="J32" i="1"/>
  <c r="J33" i="1"/>
  <c r="J34" i="1"/>
  <c r="J35" i="1"/>
  <c r="J36" i="1"/>
  <c r="J37" i="1"/>
  <c r="J31" i="1"/>
  <c r="L46" i="1"/>
  <c r="H46" i="1"/>
  <c r="H31" i="1"/>
  <c r="F33" i="1"/>
  <c r="H33" i="1" s="1"/>
  <c r="F34" i="1"/>
  <c r="F35" i="1"/>
  <c r="F36" i="1"/>
  <c r="F32" i="1"/>
  <c r="H32" i="1" s="1"/>
  <c r="H34" i="1"/>
  <c r="H35" i="1"/>
  <c r="H36" i="1"/>
  <c r="F58" i="1"/>
  <c r="H37" i="1"/>
  <c r="H47" i="1"/>
  <c r="H52" i="1" s="1"/>
  <c r="F47" i="1"/>
  <c r="F52" i="1" s="1"/>
  <c r="H44" i="1"/>
  <c r="H51" i="1" s="1"/>
  <c r="F44" i="1"/>
  <c r="J43" i="1"/>
  <c r="J42" i="1"/>
  <c r="L41" i="1"/>
  <c r="J41" i="1"/>
  <c r="L40" i="1"/>
  <c r="J40" i="1"/>
  <c r="F37" i="1"/>
  <c r="F31" i="1"/>
  <c r="D28" i="1"/>
  <c r="D27" i="1"/>
  <c r="D26" i="1"/>
  <c r="D25" i="1"/>
  <c r="D24" i="1"/>
  <c r="D23" i="1"/>
  <c r="D22" i="1"/>
  <c r="D21" i="1"/>
  <c r="D20" i="1"/>
  <c r="D19" i="1"/>
  <c r="D17" i="1"/>
  <c r="D16" i="1"/>
  <c r="D15" i="1"/>
  <c r="D14" i="1"/>
  <c r="D13" i="1"/>
  <c r="D12" i="1"/>
  <c r="D11" i="1"/>
  <c r="D10" i="1"/>
  <c r="D9" i="1"/>
  <c r="D7" i="1"/>
  <c r="D6" i="1"/>
  <c r="F53" i="2" l="1"/>
  <c r="L54" i="2" s="1"/>
  <c r="H55" i="2"/>
  <c r="H59" i="2" s="1"/>
  <c r="F29" i="2"/>
  <c r="L29" i="2"/>
  <c r="L55" i="2" s="1"/>
  <c r="L59" i="2" s="1"/>
  <c r="J29" i="2"/>
  <c r="J55" i="2" s="1"/>
  <c r="J59" i="2" s="1"/>
  <c r="N55" i="2"/>
  <c r="N60" i="2" s="1"/>
  <c r="N30" i="2"/>
  <c r="L39" i="2"/>
  <c r="J38" i="1"/>
  <c r="J44" i="1"/>
  <c r="J51" i="1" s="1"/>
  <c r="L44" i="1"/>
  <c r="L51" i="1" s="1"/>
  <c r="N6" i="1"/>
  <c r="L6" i="1"/>
  <c r="J6" i="1"/>
  <c r="N7" i="1"/>
  <c r="J7" i="1"/>
  <c r="L7" i="1"/>
  <c r="H7" i="1"/>
  <c r="N9" i="1"/>
  <c r="L9" i="1"/>
  <c r="J9" i="1"/>
  <c r="H10" i="1"/>
  <c r="N10" i="1"/>
  <c r="L10" i="1"/>
  <c r="J10" i="1"/>
  <c r="H11" i="1"/>
  <c r="N11" i="1"/>
  <c r="L11" i="1"/>
  <c r="J11" i="1"/>
  <c r="H12" i="1"/>
  <c r="N12" i="1"/>
  <c r="L12" i="1"/>
  <c r="J12" i="1"/>
  <c r="F13" i="1"/>
  <c r="N13" i="1"/>
  <c r="L13" i="1"/>
  <c r="J13" i="1"/>
  <c r="F14" i="1"/>
  <c r="N14" i="1"/>
  <c r="L14" i="1"/>
  <c r="J14" i="1"/>
  <c r="F15" i="1"/>
  <c r="N15" i="1"/>
  <c r="L15" i="1"/>
  <c r="J15" i="1"/>
  <c r="N16" i="1"/>
  <c r="L16" i="1"/>
  <c r="J16" i="1"/>
  <c r="H16" i="1"/>
  <c r="N17" i="1"/>
  <c r="J17" i="1"/>
  <c r="H17" i="1"/>
  <c r="F20" i="1"/>
  <c r="N19" i="1"/>
  <c r="L19" i="1"/>
  <c r="J19" i="1"/>
  <c r="H20" i="1"/>
  <c r="N20" i="1"/>
  <c r="L20" i="1"/>
  <c r="J20" i="1"/>
  <c r="H21" i="1"/>
  <c r="N21" i="1"/>
  <c r="L21" i="1"/>
  <c r="J21" i="1"/>
  <c r="H22" i="1"/>
  <c r="N22" i="1"/>
  <c r="L22" i="1"/>
  <c r="J22" i="1"/>
  <c r="H23" i="1"/>
  <c r="N23" i="1"/>
  <c r="L23" i="1"/>
  <c r="J23" i="1"/>
  <c r="F24" i="1"/>
  <c r="N24" i="1"/>
  <c r="L24" i="1"/>
  <c r="J24" i="1"/>
  <c r="N25" i="1"/>
  <c r="L25" i="1"/>
  <c r="J25" i="1"/>
  <c r="H25" i="1"/>
  <c r="N26" i="1"/>
  <c r="L26" i="1"/>
  <c r="J26" i="1"/>
  <c r="H26" i="1"/>
  <c r="H27" i="1"/>
  <c r="N27" i="1"/>
  <c r="L27" i="1"/>
  <c r="J27" i="1"/>
  <c r="H28" i="1"/>
  <c r="N28" i="1"/>
  <c r="L28" i="1"/>
  <c r="J28" i="1"/>
  <c r="N38" i="1"/>
  <c r="N51" i="1"/>
  <c r="L47" i="1"/>
  <c r="L52" i="1" s="1"/>
  <c r="H19" i="1"/>
  <c r="H6" i="1"/>
  <c r="H24" i="1"/>
  <c r="H15" i="1"/>
  <c r="H14" i="1"/>
  <c r="H13" i="1"/>
  <c r="J47" i="1"/>
  <c r="F22" i="1"/>
  <c r="F38" i="1"/>
  <c r="F50" i="1" s="1"/>
  <c r="H38" i="1"/>
  <c r="F21" i="1"/>
  <c r="F10" i="1"/>
  <c r="F19" i="1"/>
  <c r="F25" i="1"/>
  <c r="J50" i="1"/>
  <c r="F23" i="1"/>
  <c r="F51" i="1"/>
  <c r="F12" i="1"/>
  <c r="F16" i="1"/>
  <c r="F55" i="2" l="1"/>
  <c r="F59" i="2" s="1"/>
  <c r="L30" i="2"/>
  <c r="N29" i="1"/>
  <c r="N45" i="1"/>
  <c r="L45" i="1"/>
  <c r="N53" i="1"/>
  <c r="L38" i="1"/>
  <c r="L39" i="1" s="1"/>
  <c r="J52" i="1"/>
  <c r="J53" i="1" s="1"/>
  <c r="H50" i="1"/>
  <c r="H53" i="1" s="1"/>
  <c r="L48" i="1"/>
  <c r="F53" i="1"/>
  <c r="F29" i="1"/>
  <c r="H29" i="1"/>
  <c r="F56" i="2" l="1"/>
  <c r="L60" i="2" s="1"/>
  <c r="L50" i="1"/>
  <c r="L53" i="1" s="1"/>
  <c r="N60" i="1"/>
  <c r="H55" i="1"/>
  <c r="H59" i="1" s="1"/>
  <c r="L54" i="1"/>
  <c r="L29" i="1"/>
  <c r="L55" i="1" s="1"/>
  <c r="L59" i="1" s="1"/>
  <c r="J29" i="1"/>
  <c r="F55" i="1"/>
  <c r="F59" i="1" s="1"/>
  <c r="J55" i="1" l="1"/>
  <c r="J59" i="1" s="1"/>
  <c r="L30" i="1"/>
  <c r="F56" i="1" l="1"/>
  <c r="L60" i="1" s="1"/>
</calcChain>
</file>

<file path=xl/sharedStrings.xml><?xml version="1.0" encoding="utf-8"?>
<sst xmlns="http://schemas.openxmlformats.org/spreadsheetml/2006/main" count="190" uniqueCount="69">
  <si>
    <t>CDI Financial Profiling</t>
  </si>
  <si>
    <t>Yellow cells indicate the cost for 6 months to account for delayed drawdown of funding</t>
  </si>
  <si>
    <t>Midpoint Investment</t>
  </si>
  <si>
    <t>Salary*</t>
  </si>
  <si>
    <t>Overhead*</t>
  </si>
  <si>
    <t>Rate (Sum)</t>
  </si>
  <si>
    <t>Quantity</t>
  </si>
  <si>
    <t>2023/24</t>
  </si>
  <si>
    <t>2024/25</t>
  </si>
  <si>
    <t>2025/26</t>
  </si>
  <si>
    <t>2026/27</t>
  </si>
  <si>
    <t>Outyears</t>
  </si>
  <si>
    <t>FTE</t>
  </si>
  <si>
    <t>UX Researcher/Designer</t>
  </si>
  <si>
    <t>Data Engineer</t>
  </si>
  <si>
    <t>Establishment Lead</t>
  </si>
  <si>
    <t>Product Manager</t>
  </si>
  <si>
    <t>Business Analyst</t>
  </si>
  <si>
    <t>Senior Business Analyst</t>
  </si>
  <si>
    <t>Solution Architect</t>
  </si>
  <si>
    <t>Security Architect</t>
  </si>
  <si>
    <t>Network Consultant</t>
  </si>
  <si>
    <t>Test Engineer</t>
  </si>
  <si>
    <t>Data Analyst</t>
  </si>
  <si>
    <t>Senior Data Analyst</t>
  </si>
  <si>
    <t>Principal Data Analyst</t>
  </si>
  <si>
    <t>Finance</t>
  </si>
  <si>
    <t>Procurement</t>
  </si>
  <si>
    <t>PPA</t>
  </si>
  <si>
    <t>JEDI</t>
  </si>
  <si>
    <t>Legal</t>
  </si>
  <si>
    <t>Enterprise Architect</t>
  </si>
  <si>
    <t>Data Developer</t>
  </si>
  <si>
    <t>Agency 1 Data Analyst</t>
  </si>
  <si>
    <t>Agency 2 Data Analyst</t>
  </si>
  <si>
    <t>Agency 3 Data Analyst</t>
  </si>
  <si>
    <t>*3% inflation is assumed; salary at 75% of band range</t>
  </si>
  <si>
    <t>*per treasury guidance</t>
  </si>
  <si>
    <t>OPEX</t>
  </si>
  <si>
    <t>FTE TOTAL</t>
  </si>
  <si>
    <t>Cloud Storage for Dashboard and Tool Data</t>
  </si>
  <si>
    <t>N/A</t>
  </si>
  <si>
    <t>CPU for Dashboards and Tools</t>
  </si>
  <si>
    <t>SaaS - Dashboards</t>
  </si>
  <si>
    <t>Private Sector Research</t>
  </si>
  <si>
    <t>Corporate Expenditure</t>
  </si>
  <si>
    <t>Data Collection/Maintanence</t>
  </si>
  <si>
    <t>Data Purchasing</t>
  </si>
  <si>
    <t>CAPEX</t>
  </si>
  <si>
    <t>OPEX TOTAL</t>
  </si>
  <si>
    <t>Hardware/Server</t>
  </si>
  <si>
    <t>Climate Data Portal Website</t>
  </si>
  <si>
    <t>Depreciation</t>
  </si>
  <si>
    <t>Capital Charge</t>
  </si>
  <si>
    <t>CONSULTANTS</t>
  </si>
  <si>
    <t>CAPEX TOTAL</t>
  </si>
  <si>
    <t>FTE - Data Tools</t>
  </si>
  <si>
    <t>CONSULTANTS TOTAL</t>
  </si>
  <si>
    <t>CONTINGENCY</t>
  </si>
  <si>
    <t>OPEX Contingency</t>
  </si>
  <si>
    <t>CAPEX Contingency</t>
  </si>
  <si>
    <t>Contractor Contingency</t>
  </si>
  <si>
    <t>CONTG TOTAL</t>
  </si>
  <si>
    <t>REPHASED ANNUAL TOTAL</t>
  </si>
  <si>
    <t>ORIGINAL TAGGED CONTINGENCY</t>
  </si>
  <si>
    <t>RESIDUAL DIFFERENCE</t>
  </si>
  <si>
    <t>NOTE: Salaries and OPEX costs increase by 3% each year to accountfor inflation/superannuation as per finance guidance</t>
  </si>
  <si>
    <t>total fte</t>
  </si>
  <si>
    <t>Consultant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</si>
</sst>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0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44" fontId="2" fillId="2" borderId="4" xfId="1" applyFont="1" applyFill="1" applyBorder="1"/>
    <xf numFmtId="44" fontId="2" fillId="2" borderId="5" xfId="1" applyFont="1" applyFill="1" applyBorder="1"/>
    <xf numFmtId="44" fontId="4" fillId="2" borderId="0" xfId="1" applyFont="1" applyFill="1" applyBorder="1" applyAlignment="1">
      <alignment wrapText="1"/>
    </xf>
    <xf numFmtId="44" fontId="4" fillId="2" borderId="6" xfId="1" applyFont="1" applyFill="1" applyBorder="1" applyAlignment="1">
      <alignment wrapText="1"/>
    </xf>
    <xf numFmtId="44" fontId="4" fillId="2" borderId="1" xfId="1" applyFont="1" applyFill="1" applyBorder="1"/>
    <xf numFmtId="44" fontId="5" fillId="2" borderId="7" xfId="1" applyFont="1" applyFill="1" applyBorder="1"/>
    <xf numFmtId="44" fontId="5" fillId="2" borderId="1" xfId="1" applyFont="1" applyFill="1" applyBorder="1"/>
    <xf numFmtId="0" fontId="4" fillId="2" borderId="8" xfId="0" applyFont="1" applyFill="1" applyBorder="1" applyAlignment="1">
      <alignment wrapText="1"/>
    </xf>
    <xf numFmtId="0" fontId="7" fillId="2" borderId="0" xfId="0" applyFont="1" applyFill="1"/>
    <xf numFmtId="44" fontId="4" fillId="2" borderId="0" xfId="1" applyFont="1" applyFill="1" applyBorder="1" applyAlignment="1">
      <alignment horizontal="left" vertical="center" wrapText="1"/>
    </xf>
    <xf numFmtId="44" fontId="8" fillId="2" borderId="0" xfId="1" applyFont="1" applyFill="1" applyBorder="1" applyAlignment="1">
      <alignment horizontal="left" vertical="center" wrapText="1"/>
    </xf>
    <xf numFmtId="44" fontId="8" fillId="2" borderId="0" xfId="1" applyFont="1" applyFill="1" applyBorder="1" applyAlignment="1">
      <alignment horizontal="center" vertical="center" wrapText="1"/>
    </xf>
    <xf numFmtId="44" fontId="6" fillId="2" borderId="1" xfId="1" applyFont="1" applyFill="1" applyBorder="1"/>
    <xf numFmtId="44" fontId="2" fillId="2" borderId="5" xfId="1" applyFont="1" applyFill="1" applyBorder="1" applyAlignment="1"/>
    <xf numFmtId="44" fontId="4" fillId="2" borderId="4" xfId="1" applyFont="1" applyFill="1" applyBorder="1"/>
    <xf numFmtId="0" fontId="4" fillId="2" borderId="5" xfId="0" applyFont="1" applyFill="1" applyBorder="1"/>
    <xf numFmtId="44" fontId="4" fillId="2" borderId="5" xfId="1" applyFont="1" applyFill="1" applyBorder="1"/>
    <xf numFmtId="44" fontId="9" fillId="2" borderId="4" xfId="1" applyFont="1" applyFill="1" applyBorder="1"/>
    <xf numFmtId="44" fontId="7" fillId="2" borderId="0" xfId="1" applyFont="1" applyFill="1" applyBorder="1" applyAlignment="1">
      <alignment horizontal="center" vertical="center" wrapText="1"/>
    </xf>
    <xf numFmtId="44" fontId="5" fillId="2" borderId="0" xfId="1" applyFont="1" applyFill="1" applyBorder="1"/>
    <xf numFmtId="44" fontId="2" fillId="2" borderId="0" xfId="1" applyFont="1" applyFill="1" applyBorder="1" applyAlignment="1">
      <alignment horizontal="left" vertical="center" wrapText="1"/>
    </xf>
    <xf numFmtId="44" fontId="0" fillId="2" borderId="4" xfId="1" applyFont="1" applyFill="1" applyBorder="1"/>
    <xf numFmtId="0" fontId="2" fillId="2" borderId="5" xfId="0" applyFont="1" applyFill="1" applyBorder="1"/>
    <xf numFmtId="44" fontId="0" fillId="2" borderId="5" xfId="1" applyFont="1" applyFill="1" applyBorder="1"/>
    <xf numFmtId="44" fontId="0" fillId="2" borderId="1" xfId="1" applyFont="1" applyFill="1" applyBorder="1"/>
    <xf numFmtId="0" fontId="4" fillId="2" borderId="5" xfId="0" applyFont="1" applyFill="1" applyBorder="1" applyAlignment="1">
      <alignment horizontal="right"/>
    </xf>
    <xf numFmtId="44" fontId="0" fillId="2" borderId="0" xfId="1" applyFont="1" applyFill="1" applyBorder="1"/>
    <xf numFmtId="44" fontId="9" fillId="2" borderId="1" xfId="1" applyFont="1" applyFill="1" applyBorder="1"/>
    <xf numFmtId="9" fontId="4" fillId="2" borderId="1" xfId="1" applyNumberFormat="1" applyFont="1" applyFill="1" applyBorder="1" applyAlignment="1">
      <alignment horizontal="center"/>
    </xf>
    <xf numFmtId="44" fontId="2" fillId="2" borderId="0" xfId="1" applyFont="1" applyFill="1" applyBorder="1" applyAlignment="1"/>
    <xf numFmtId="9" fontId="0" fillId="2" borderId="1" xfId="1" applyNumberFormat="1" applyFont="1" applyFill="1" applyBorder="1"/>
    <xf numFmtId="44" fontId="6" fillId="2" borderId="0" xfId="1" applyFont="1" applyFill="1" applyBorder="1"/>
    <xf numFmtId="44" fontId="7" fillId="2" borderId="0" xfId="1" applyFont="1" applyFill="1" applyBorder="1" applyAlignment="1">
      <alignment horizontal="left" vertical="center" wrapText="1"/>
    </xf>
    <xf numFmtId="44" fontId="2" fillId="2" borderId="6" xfId="1" applyFont="1" applyFill="1" applyBorder="1" applyAlignment="1"/>
    <xf numFmtId="44" fontId="0" fillId="2" borderId="6" xfId="1" applyFont="1" applyFill="1" applyBorder="1"/>
    <xf numFmtId="44" fontId="2" fillId="2" borderId="6" xfId="1" applyFont="1" applyFill="1" applyBorder="1"/>
    <xf numFmtId="44" fontId="2" fillId="2" borderId="0" xfId="1" applyFont="1" applyFill="1" applyBorder="1" applyAlignment="1">
      <alignment vertical="center" wrapText="1"/>
    </xf>
    <xf numFmtId="0" fontId="0" fillId="2" borderId="10" xfId="0" applyFill="1" applyBorder="1"/>
    <xf numFmtId="1" fontId="6" fillId="2" borderId="0" xfId="1" applyNumberFormat="1" applyFont="1" applyFill="1" applyBorder="1" applyAlignment="1">
      <alignment horizontal="center"/>
    </xf>
    <xf numFmtId="0" fontId="6" fillId="2" borderId="0" xfId="1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wrapText="1"/>
    </xf>
    <xf numFmtId="44" fontId="4" fillId="2" borderId="7" xfId="1" applyFont="1" applyFill="1" applyBorder="1"/>
    <xf numFmtId="44" fontId="5" fillId="2" borderId="6" xfId="1" applyFont="1" applyFill="1" applyBorder="1"/>
    <xf numFmtId="0" fontId="6" fillId="2" borderId="6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2" borderId="8" xfId="0" applyFont="1" applyFill="1" applyBorder="1" applyAlignment="1">
      <alignment horizontal="left" vertical="center" wrapText="1"/>
    </xf>
    <xf numFmtId="0" fontId="6" fillId="2" borderId="0" xfId="1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12" xfId="0" applyFont="1" applyFill="1" applyBorder="1"/>
    <xf numFmtId="0" fontId="7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2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/>
    <xf numFmtId="44" fontId="10" fillId="2" borderId="0" xfId="1" applyFont="1" applyFill="1" applyBorder="1"/>
    <xf numFmtId="0" fontId="2" fillId="2" borderId="0" xfId="1" applyNumberFormat="1" applyFont="1" applyFill="1" applyBorder="1" applyAlignment="1">
      <alignment horizontal="center"/>
    </xf>
    <xf numFmtId="44" fontId="2" fillId="2" borderId="7" xfId="1" applyFont="1" applyFill="1" applyBorder="1"/>
    <xf numFmtId="0" fontId="0" fillId="2" borderId="5" xfId="0" applyFill="1" applyBorder="1" applyAlignment="1">
      <alignment vertical="center" wrapText="1"/>
    </xf>
    <xf numFmtId="0" fontId="0" fillId="2" borderId="5" xfId="0" applyFill="1" applyBorder="1"/>
    <xf numFmtId="0" fontId="4" fillId="2" borderId="0" xfId="0" applyFont="1" applyFill="1" applyAlignment="1">
      <alignment horizontal="right" vertical="center"/>
    </xf>
    <xf numFmtId="44" fontId="10" fillId="2" borderId="13" xfId="1" applyFont="1" applyFill="1" applyBorder="1"/>
    <xf numFmtId="0" fontId="0" fillId="2" borderId="6" xfId="0" applyFill="1" applyBorder="1" applyAlignment="1">
      <alignment vertical="center" wrapText="1"/>
    </xf>
    <xf numFmtId="0" fontId="0" fillId="2" borderId="6" xfId="0" applyFill="1" applyBorder="1"/>
    <xf numFmtId="0" fontId="0" fillId="2" borderId="1" xfId="0" applyFill="1" applyBorder="1"/>
    <xf numFmtId="44" fontId="0" fillId="2" borderId="9" xfId="1" applyFont="1" applyFill="1" applyBorder="1"/>
    <xf numFmtId="44" fontId="0" fillId="2" borderId="10" xfId="1" applyFont="1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4" xfId="0" applyFill="1" applyBorder="1"/>
    <xf numFmtId="44" fontId="2" fillId="0" borderId="7" xfId="1" applyFont="1" applyFill="1" applyBorder="1"/>
    <xf numFmtId="44" fontId="2" fillId="2" borderId="0" xfId="0" applyNumberFormat="1" applyFont="1" applyFill="1"/>
    <xf numFmtId="44" fontId="2" fillId="2" borderId="1" xfId="0" applyNumberFormat="1" applyFont="1" applyFill="1" applyBorder="1"/>
    <xf numFmtId="44" fontId="13" fillId="2" borderId="5" xfId="1" applyFont="1" applyFill="1" applyBorder="1"/>
    <xf numFmtId="44" fontId="13" fillId="2" borderId="0" xfId="1" applyFont="1" applyFill="1" applyBorder="1"/>
    <xf numFmtId="44" fontId="12" fillId="2" borderId="5" xfId="1" applyFont="1" applyFill="1" applyBorder="1" applyAlignment="1">
      <alignment horizontal="center"/>
    </xf>
    <xf numFmtId="44" fontId="13" fillId="2" borderId="0" xfId="1" applyFont="1" applyFill="1" applyBorder="1" applyAlignment="1">
      <alignment horizontal="center" wrapText="1"/>
    </xf>
    <xf numFmtId="44" fontId="14" fillId="2" borderId="4" xfId="0" applyNumberFormat="1" applyFont="1" applyFill="1" applyBorder="1"/>
    <xf numFmtId="0" fontId="6" fillId="2" borderId="6" xfId="0" applyFont="1" applyFill="1" applyBorder="1" applyAlignment="1">
      <alignment horizontal="center"/>
    </xf>
    <xf numFmtId="44" fontId="5" fillId="3" borderId="6" xfId="1" applyFont="1" applyFill="1" applyBorder="1"/>
    <xf numFmtId="44" fontId="5" fillId="3" borderId="0" xfId="1" applyFont="1" applyFill="1" applyBorder="1"/>
    <xf numFmtId="0" fontId="0" fillId="2" borderId="0" xfId="0" applyFill="1" applyAlignment="1">
      <alignment wrapText="1"/>
    </xf>
    <xf numFmtId="44" fontId="5" fillId="0" borderId="0" xfId="1" applyFont="1" applyFill="1" applyBorder="1"/>
    <xf numFmtId="44" fontId="11" fillId="2" borderId="5" xfId="1" applyFont="1" applyFill="1" applyBorder="1" applyAlignment="1">
      <alignment horizontal="left"/>
    </xf>
    <xf numFmtId="44" fontId="11" fillId="2" borderId="4" xfId="1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11" fillId="2" borderId="0" xfId="1" applyFont="1" applyFill="1" applyBorder="1" applyAlignment="1">
      <alignment horizontal="left"/>
    </xf>
    <xf numFmtId="44" fontId="11" fillId="2" borderId="1" xfId="1" applyFont="1" applyFill="1" applyBorder="1" applyAlignment="1">
      <alignment horizontal="left"/>
    </xf>
    <xf numFmtId="0" fontId="0" fillId="3" borderId="0" xfId="0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3402-AB6D-4254-90BD-D7DF30E20DFC}">
  <sheetPr>
    <tabColor theme="5" tint="0.79998168889431442"/>
  </sheetPr>
  <dimension ref="A1:N67"/>
  <sheetViews>
    <sheetView tabSelected="1" zoomScaleNormal="100" workbookViewId="0">
      <pane xSplit="1" ySplit="5" topLeftCell="B9" activePane="bottomRight" state="frozen"/>
      <selection pane="bottomRight" activeCell="G21" sqref="G21"/>
      <selection pane="bottomLeft" activeCell="A6" sqref="A6"/>
      <selection pane="topRight" activeCell="B1" sqref="B1"/>
    </sheetView>
  </sheetViews>
  <sheetFormatPr defaultRowHeight="15"/>
  <cols>
    <col min="1" max="1" width="24.7109375" style="2" bestFit="1" customWidth="1"/>
    <col min="2" max="3" width="22.7109375" style="2" customWidth="1"/>
    <col min="4" max="4" width="14.28515625" style="1" bestFit="1" customWidth="1"/>
    <col min="5" max="5" width="14.28515625" style="1" customWidth="1"/>
    <col min="6" max="6" width="14.28515625" style="1" bestFit="1" customWidth="1"/>
    <col min="7" max="7" width="14.28515625" style="1" customWidth="1"/>
    <col min="8" max="8" width="14.28515625" style="1" bestFit="1" customWidth="1"/>
    <col min="9" max="9" width="14.28515625" style="1" customWidth="1"/>
    <col min="10" max="10" width="15.28515625" style="1" bestFit="1" customWidth="1"/>
    <col min="11" max="11" width="15.28515625" style="1" customWidth="1"/>
    <col min="12" max="12" width="15.28515625" style="1" bestFit="1" customWidth="1"/>
    <col min="13" max="13" width="14.28515625" style="1" bestFit="1" customWidth="1"/>
    <col min="14" max="14" width="14.5703125" style="1" bestFit="1" customWidth="1"/>
    <col min="15" max="16384" width="9.140625" style="1"/>
  </cols>
  <sheetData>
    <row r="1" spans="1:14" ht="22.5" customHeight="1">
      <c r="A1" s="102" t="s">
        <v>0</v>
      </c>
      <c r="B1" s="102"/>
      <c r="C1" s="102"/>
      <c r="D1" s="102"/>
      <c r="E1" s="107" t="s">
        <v>1</v>
      </c>
      <c r="F1" s="107"/>
      <c r="G1" s="107"/>
      <c r="H1" s="94"/>
      <c r="I1" s="94"/>
      <c r="J1" s="94"/>
      <c r="K1" s="94"/>
      <c r="L1" s="94"/>
    </row>
    <row r="2" spans="1:14" ht="23.25" customHeight="1">
      <c r="A2" s="102"/>
      <c r="B2" s="102"/>
      <c r="C2" s="102"/>
      <c r="D2" s="102"/>
      <c r="E2" s="107"/>
      <c r="F2" s="107"/>
      <c r="G2" s="107"/>
      <c r="H2" s="94"/>
      <c r="I2" s="94"/>
      <c r="J2" s="94"/>
      <c r="K2" s="94"/>
      <c r="L2" s="94"/>
    </row>
    <row r="3" spans="1:14">
      <c r="D3" s="103" t="s">
        <v>2</v>
      </c>
      <c r="E3" s="103"/>
      <c r="F3" s="103"/>
      <c r="G3" s="103"/>
      <c r="H3" s="103"/>
      <c r="I3" s="103"/>
      <c r="J3" s="103"/>
      <c r="K3" s="103"/>
      <c r="L3" s="104"/>
    </row>
    <row r="4" spans="1:14" s="7" customFormat="1">
      <c r="A4" s="5"/>
      <c r="B4" s="6" t="s">
        <v>3</v>
      </c>
      <c r="C4" s="6" t="s">
        <v>4</v>
      </c>
      <c r="D4" s="4" t="s">
        <v>5</v>
      </c>
      <c r="E4" s="3" t="s">
        <v>6</v>
      </c>
      <c r="F4" s="3" t="s">
        <v>7</v>
      </c>
      <c r="G4" s="3" t="s">
        <v>6</v>
      </c>
      <c r="H4" s="3" t="s">
        <v>8</v>
      </c>
      <c r="I4" s="3" t="s">
        <v>6</v>
      </c>
      <c r="J4" s="3" t="s">
        <v>9</v>
      </c>
      <c r="K4" s="3" t="s">
        <v>6</v>
      </c>
      <c r="L4" s="4" t="s">
        <v>10</v>
      </c>
      <c r="M4" s="3" t="s">
        <v>6</v>
      </c>
      <c r="N4" s="4" t="s">
        <v>11</v>
      </c>
    </row>
    <row r="5" spans="1:14">
      <c r="A5" s="8" t="s">
        <v>12</v>
      </c>
      <c r="B5" s="9"/>
      <c r="C5" s="10"/>
      <c r="D5" s="11"/>
      <c r="E5" s="10"/>
      <c r="F5" s="12"/>
      <c r="G5" s="12"/>
      <c r="H5" s="12"/>
      <c r="I5" s="12"/>
      <c r="J5" s="12"/>
      <c r="K5" s="12"/>
      <c r="L5" s="11"/>
    </row>
    <row r="6" spans="1:14">
      <c r="A6" s="51" t="s">
        <v>13</v>
      </c>
      <c r="B6" s="14">
        <v>150000</v>
      </c>
      <c r="C6" s="14">
        <v>56000</v>
      </c>
      <c r="D6" s="52">
        <f>SUM(B6:C6)</f>
        <v>206000</v>
      </c>
      <c r="E6" s="91">
        <v>1</v>
      </c>
      <c r="F6" s="92">
        <f>$E$6*D6*0.5</f>
        <v>103000</v>
      </c>
      <c r="G6" s="91">
        <v>1</v>
      </c>
      <c r="H6" s="53">
        <f>$G6*(D6*1.03)</f>
        <v>212180</v>
      </c>
      <c r="I6" s="54">
        <v>1</v>
      </c>
      <c r="J6" s="53">
        <f>$I6*(D6*1.03*1.03)</f>
        <v>218545.4</v>
      </c>
      <c r="K6" s="54">
        <v>1</v>
      </c>
      <c r="L6" s="16">
        <f>$K6*(D6*1.03*1.03*1.03)</f>
        <v>225101.76199999999</v>
      </c>
      <c r="M6" s="54">
        <v>1</v>
      </c>
      <c r="N6" s="16">
        <f>$M6*(D6*1.03*1.03*1.03*1.03)</f>
        <v>231854.81485999998</v>
      </c>
    </row>
    <row r="7" spans="1:14">
      <c r="A7" s="18" t="s">
        <v>14</v>
      </c>
      <c r="B7" s="13">
        <v>168000</v>
      </c>
      <c r="C7" s="13">
        <v>56000</v>
      </c>
      <c r="D7" s="15">
        <f t="shared" ref="D7:D28" si="0">SUM(B7:C7)</f>
        <v>224000</v>
      </c>
      <c r="E7" s="55">
        <v>2</v>
      </c>
      <c r="F7" s="93">
        <f>$E$7*D7*0.5</f>
        <v>224000</v>
      </c>
      <c r="G7" s="55">
        <v>2</v>
      </c>
      <c r="H7" s="30">
        <f>$G7*(D7*1.03)</f>
        <v>461440</v>
      </c>
      <c r="I7" s="55">
        <v>2</v>
      </c>
      <c r="J7" s="30">
        <f>$I7*(D7*1.03*1.03)</f>
        <v>475283.20000000001</v>
      </c>
      <c r="K7" s="55">
        <v>2</v>
      </c>
      <c r="L7" s="17">
        <f>$K7*(D7*1.03*1.03*1.03)</f>
        <v>489541.696</v>
      </c>
      <c r="M7" s="55">
        <v>2</v>
      </c>
      <c r="N7" s="17">
        <f>$M7*(D7*1.03*1.03*1.03*1.03)</f>
        <v>504227.94688</v>
      </c>
    </row>
    <row r="8" spans="1:14">
      <c r="A8" s="18" t="s">
        <v>15</v>
      </c>
      <c r="B8" s="13">
        <v>220000</v>
      </c>
      <c r="C8" s="13">
        <v>56000</v>
      </c>
      <c r="D8" s="15">
        <f t="shared" si="0"/>
        <v>276000</v>
      </c>
      <c r="E8" s="55">
        <v>1</v>
      </c>
      <c r="F8" s="30">
        <f>$E$8*D8</f>
        <v>276000</v>
      </c>
      <c r="G8" s="55">
        <v>1</v>
      </c>
      <c r="H8" s="30">
        <f>$G8*(D8*1.03)</f>
        <v>284280</v>
      </c>
      <c r="I8" s="55">
        <v>1</v>
      </c>
      <c r="J8" s="30">
        <f t="shared" ref="J8:J28" si="1">$I8*(D8*1.03*1.03)</f>
        <v>292808.40000000002</v>
      </c>
      <c r="K8" s="55">
        <v>1</v>
      </c>
      <c r="L8" s="17">
        <f t="shared" ref="L8:L28" si="2">$K8*(D8*1.03*1.03*1.03)</f>
        <v>301592.65200000006</v>
      </c>
      <c r="M8" s="55">
        <v>1</v>
      </c>
      <c r="N8" s="17">
        <f t="shared" ref="N8:N28" si="3">$M8*(D8*1.03*1.03*1.03*1.03)</f>
        <v>310640.43156000006</v>
      </c>
    </row>
    <row r="9" spans="1:14">
      <c r="A9" s="18" t="s">
        <v>16</v>
      </c>
      <c r="B9" s="13">
        <v>180000</v>
      </c>
      <c r="C9" s="13">
        <v>56000</v>
      </c>
      <c r="D9" s="15">
        <f t="shared" si="0"/>
        <v>236000</v>
      </c>
      <c r="E9" s="55">
        <v>1</v>
      </c>
      <c r="F9" s="93">
        <f>$E$9*D9*0.5</f>
        <v>118000</v>
      </c>
      <c r="G9" s="55">
        <v>1</v>
      </c>
      <c r="H9" s="30">
        <f>$G9*(D9*1.03)</f>
        <v>243080</v>
      </c>
      <c r="I9" s="55">
        <v>1</v>
      </c>
      <c r="J9" s="30">
        <f t="shared" si="1"/>
        <v>250372.4</v>
      </c>
      <c r="K9" s="55">
        <v>1</v>
      </c>
      <c r="L9" s="17">
        <f t="shared" si="2"/>
        <v>257883.57200000001</v>
      </c>
      <c r="M9" s="55">
        <v>1</v>
      </c>
      <c r="N9" s="17">
        <f t="shared" si="3"/>
        <v>265620.07916000002</v>
      </c>
    </row>
    <row r="10" spans="1:14">
      <c r="A10" s="18" t="s">
        <v>17</v>
      </c>
      <c r="B10" s="13">
        <v>130000</v>
      </c>
      <c r="C10" s="13">
        <v>56000</v>
      </c>
      <c r="D10" s="15">
        <f t="shared" si="0"/>
        <v>186000</v>
      </c>
      <c r="E10" s="56">
        <v>0</v>
      </c>
      <c r="F10" s="30">
        <f>$E$10*$D$10</f>
        <v>0</v>
      </c>
      <c r="G10" s="56">
        <v>0</v>
      </c>
      <c r="H10" s="30">
        <f t="shared" ref="H10:H28" si="4">$G10*(D10*1.03)</f>
        <v>0</v>
      </c>
      <c r="I10" s="56">
        <v>0</v>
      </c>
      <c r="J10" s="30">
        <f t="shared" si="1"/>
        <v>0</v>
      </c>
      <c r="K10" s="56">
        <v>0</v>
      </c>
      <c r="L10" s="17">
        <f t="shared" si="2"/>
        <v>0</v>
      </c>
      <c r="M10" s="56">
        <v>0</v>
      </c>
      <c r="N10" s="17">
        <f t="shared" si="3"/>
        <v>0</v>
      </c>
    </row>
    <row r="11" spans="1:14">
      <c r="A11" s="18" t="s">
        <v>18</v>
      </c>
      <c r="B11" s="13">
        <v>150000</v>
      </c>
      <c r="C11" s="13">
        <v>56000</v>
      </c>
      <c r="D11" s="15">
        <f>SUM(B11:C11)</f>
        <v>206000</v>
      </c>
      <c r="E11" s="55">
        <v>1</v>
      </c>
      <c r="F11" s="93">
        <f>$E$11*$D$11*0.5</f>
        <v>103000</v>
      </c>
      <c r="G11" s="56">
        <v>0</v>
      </c>
      <c r="H11" s="30">
        <f t="shared" si="4"/>
        <v>0</v>
      </c>
      <c r="I11" s="56">
        <v>0</v>
      </c>
      <c r="J11" s="30">
        <f t="shared" si="1"/>
        <v>0</v>
      </c>
      <c r="K11" s="56">
        <v>0</v>
      </c>
      <c r="L11" s="17">
        <f t="shared" si="2"/>
        <v>0</v>
      </c>
      <c r="M11" s="56">
        <v>0</v>
      </c>
      <c r="N11" s="17">
        <f t="shared" si="3"/>
        <v>0</v>
      </c>
    </row>
    <row r="12" spans="1:14">
      <c r="A12" s="18" t="s">
        <v>19</v>
      </c>
      <c r="B12" s="13">
        <v>180000</v>
      </c>
      <c r="C12" s="13">
        <v>56000</v>
      </c>
      <c r="D12" s="15">
        <f>SUM(B12:C12)</f>
        <v>236000</v>
      </c>
      <c r="E12" s="56">
        <v>0</v>
      </c>
      <c r="F12" s="30">
        <f>E12*D12</f>
        <v>0</v>
      </c>
      <c r="G12" s="56">
        <v>0</v>
      </c>
      <c r="H12" s="30">
        <f t="shared" si="4"/>
        <v>0</v>
      </c>
      <c r="I12" s="56">
        <v>0</v>
      </c>
      <c r="J12" s="30">
        <f t="shared" si="1"/>
        <v>0</v>
      </c>
      <c r="K12" s="56">
        <v>0</v>
      </c>
      <c r="L12" s="17">
        <f t="shared" si="2"/>
        <v>0</v>
      </c>
      <c r="M12" s="56">
        <v>0</v>
      </c>
      <c r="N12" s="17">
        <f t="shared" si="3"/>
        <v>0</v>
      </c>
    </row>
    <row r="13" spans="1:14">
      <c r="A13" s="18" t="s">
        <v>20</v>
      </c>
      <c r="B13" s="13">
        <v>180000</v>
      </c>
      <c r="C13" s="13">
        <v>56000</v>
      </c>
      <c r="D13" s="15">
        <f>SUM(B13:C13)</f>
        <v>236000</v>
      </c>
      <c r="E13" s="56">
        <v>0</v>
      </c>
      <c r="F13" s="30">
        <f>E13*D13</f>
        <v>0</v>
      </c>
      <c r="G13" s="56">
        <v>0</v>
      </c>
      <c r="H13" s="30">
        <f t="shared" si="4"/>
        <v>0</v>
      </c>
      <c r="I13" s="56">
        <v>0</v>
      </c>
      <c r="J13" s="30">
        <f t="shared" si="1"/>
        <v>0</v>
      </c>
      <c r="K13" s="56">
        <v>0</v>
      </c>
      <c r="L13" s="17">
        <f t="shared" si="2"/>
        <v>0</v>
      </c>
      <c r="M13" s="56">
        <v>0</v>
      </c>
      <c r="N13" s="17">
        <f t="shared" si="3"/>
        <v>0</v>
      </c>
    </row>
    <row r="14" spans="1:14">
      <c r="A14" s="18" t="s">
        <v>21</v>
      </c>
      <c r="B14" s="13">
        <v>180000</v>
      </c>
      <c r="C14" s="13">
        <v>56000</v>
      </c>
      <c r="D14" s="15">
        <f>SUM(B14:C14)</f>
        <v>236000</v>
      </c>
      <c r="E14" s="56">
        <v>0</v>
      </c>
      <c r="F14" s="30">
        <f>E14*D14</f>
        <v>0</v>
      </c>
      <c r="G14" s="56">
        <v>0</v>
      </c>
      <c r="H14" s="30">
        <f t="shared" si="4"/>
        <v>0</v>
      </c>
      <c r="I14" s="56">
        <v>0</v>
      </c>
      <c r="J14" s="30">
        <f t="shared" si="1"/>
        <v>0</v>
      </c>
      <c r="K14" s="56">
        <v>0</v>
      </c>
      <c r="L14" s="17">
        <f t="shared" si="2"/>
        <v>0</v>
      </c>
      <c r="M14" s="56">
        <v>0</v>
      </c>
      <c r="N14" s="17">
        <f t="shared" si="3"/>
        <v>0</v>
      </c>
    </row>
    <row r="15" spans="1:14">
      <c r="A15" s="18" t="s">
        <v>22</v>
      </c>
      <c r="B15" s="13">
        <v>180000</v>
      </c>
      <c r="C15" s="13">
        <v>56000</v>
      </c>
      <c r="D15" s="15">
        <f>SUM(B15:C15)</f>
        <v>236000</v>
      </c>
      <c r="E15" s="56">
        <v>0</v>
      </c>
      <c r="F15" s="30">
        <f>$E$15*D15</f>
        <v>0</v>
      </c>
      <c r="G15" s="56">
        <v>0</v>
      </c>
      <c r="H15" s="30">
        <f t="shared" si="4"/>
        <v>0</v>
      </c>
      <c r="I15" s="56">
        <v>0</v>
      </c>
      <c r="J15" s="30">
        <f t="shared" si="1"/>
        <v>0</v>
      </c>
      <c r="K15" s="56">
        <v>0</v>
      </c>
      <c r="L15" s="17">
        <f t="shared" si="2"/>
        <v>0</v>
      </c>
      <c r="M15" s="56">
        <v>0</v>
      </c>
      <c r="N15" s="17">
        <f t="shared" si="3"/>
        <v>0</v>
      </c>
    </row>
    <row r="16" spans="1:14">
      <c r="A16" s="18" t="s">
        <v>23</v>
      </c>
      <c r="B16" s="13">
        <v>100000</v>
      </c>
      <c r="C16" s="13">
        <v>56000</v>
      </c>
      <c r="D16" s="15">
        <f t="shared" si="0"/>
        <v>156000</v>
      </c>
      <c r="E16" s="57">
        <v>1</v>
      </c>
      <c r="F16" s="30">
        <f>$E$16*$D$16</f>
        <v>156000</v>
      </c>
      <c r="G16" s="57">
        <v>1</v>
      </c>
      <c r="H16" s="30">
        <f t="shared" si="4"/>
        <v>160680</v>
      </c>
      <c r="I16" s="57">
        <v>2</v>
      </c>
      <c r="J16" s="30">
        <f t="shared" si="1"/>
        <v>331000.8</v>
      </c>
      <c r="K16" s="57">
        <v>1</v>
      </c>
      <c r="L16" s="17">
        <f t="shared" si="2"/>
        <v>170465.41200000001</v>
      </c>
      <c r="M16" s="57">
        <v>1</v>
      </c>
      <c r="N16" s="17">
        <f t="shared" si="3"/>
        <v>175579.37436000002</v>
      </c>
    </row>
    <row r="17" spans="1:14">
      <c r="A17" s="18" t="s">
        <v>24</v>
      </c>
      <c r="B17" s="13">
        <v>130000</v>
      </c>
      <c r="C17" s="13">
        <v>56000</v>
      </c>
      <c r="D17" s="15">
        <f t="shared" si="0"/>
        <v>186000</v>
      </c>
      <c r="E17" s="58">
        <v>2</v>
      </c>
      <c r="F17" s="93">
        <f>$E$17*$D$17*0.5</f>
        <v>186000</v>
      </c>
      <c r="G17" s="58">
        <v>4</v>
      </c>
      <c r="H17" s="30">
        <f t="shared" si="4"/>
        <v>766320</v>
      </c>
      <c r="I17" s="58">
        <v>4</v>
      </c>
      <c r="J17" s="30">
        <f t="shared" si="1"/>
        <v>789309.6</v>
      </c>
      <c r="K17" s="58">
        <v>4</v>
      </c>
      <c r="L17" s="17">
        <f>$K17*(D17*1.03*1.03*1.03)</f>
        <v>812988.88800000004</v>
      </c>
      <c r="M17" s="58">
        <v>3</v>
      </c>
      <c r="N17" s="17">
        <f t="shared" si="3"/>
        <v>628033.91598000005</v>
      </c>
    </row>
    <row r="18" spans="1:14">
      <c r="A18" s="18" t="s">
        <v>25</v>
      </c>
      <c r="B18" s="13">
        <v>170000</v>
      </c>
      <c r="C18" s="13">
        <v>56000</v>
      </c>
      <c r="D18" s="15">
        <f t="shared" si="0"/>
        <v>226000</v>
      </c>
      <c r="E18" s="58">
        <v>1</v>
      </c>
      <c r="F18" s="30">
        <f>$E$18*$D$18</f>
        <v>226000</v>
      </c>
      <c r="G18" s="58">
        <v>1</v>
      </c>
      <c r="H18" s="30">
        <f>$G18*(D18*1.03)</f>
        <v>232780</v>
      </c>
      <c r="I18" s="58">
        <v>1</v>
      </c>
      <c r="J18" s="30">
        <f>$I18*(D18*1.03*1.03)</f>
        <v>239763.4</v>
      </c>
      <c r="K18" s="58">
        <v>1</v>
      </c>
      <c r="L18" s="17">
        <f>$K18*(D18*1.03*1.03*1.03)</f>
        <v>246956.302</v>
      </c>
      <c r="M18" s="58">
        <v>1</v>
      </c>
      <c r="N18" s="17">
        <f t="shared" si="3"/>
        <v>254364.99106</v>
      </c>
    </row>
    <row r="19" spans="1:14">
      <c r="A19" s="18" t="s">
        <v>26</v>
      </c>
      <c r="B19" s="13">
        <v>130000</v>
      </c>
      <c r="C19" s="13">
        <v>56000</v>
      </c>
      <c r="D19" s="15">
        <f>SUM(B19:C19)</f>
        <v>186000</v>
      </c>
      <c r="E19" s="55">
        <v>0.1</v>
      </c>
      <c r="F19" s="30">
        <f>E19*$D$19</f>
        <v>18600</v>
      </c>
      <c r="G19" s="55">
        <v>0.1</v>
      </c>
      <c r="H19" s="30">
        <f t="shared" si="4"/>
        <v>19158</v>
      </c>
      <c r="I19" s="55">
        <v>0.1</v>
      </c>
      <c r="J19" s="30">
        <f t="shared" si="1"/>
        <v>19732.740000000002</v>
      </c>
      <c r="K19" s="55">
        <v>0.1</v>
      </c>
      <c r="L19" s="17">
        <f t="shared" si="2"/>
        <v>20324.722200000004</v>
      </c>
      <c r="M19" s="56">
        <v>0</v>
      </c>
      <c r="N19" s="17">
        <f t="shared" si="3"/>
        <v>0</v>
      </c>
    </row>
    <row r="20" spans="1:14">
      <c r="A20" s="18" t="s">
        <v>27</v>
      </c>
      <c r="B20" s="13">
        <v>130000</v>
      </c>
      <c r="C20" s="13">
        <v>56000</v>
      </c>
      <c r="D20" s="15">
        <f t="shared" ref="D20:D23" si="5">SUM(B20:C20)</f>
        <v>186000</v>
      </c>
      <c r="E20" s="55">
        <v>0.2</v>
      </c>
      <c r="F20" s="30">
        <f t="shared" ref="F20:F23" si="6">E20*$D$19</f>
        <v>37200</v>
      </c>
      <c r="G20" s="55">
        <v>0.2</v>
      </c>
      <c r="H20" s="30">
        <f t="shared" si="4"/>
        <v>38316</v>
      </c>
      <c r="I20" s="55">
        <v>0.2</v>
      </c>
      <c r="J20" s="30">
        <f t="shared" si="1"/>
        <v>39465.480000000003</v>
      </c>
      <c r="K20" s="55">
        <v>0.2</v>
      </c>
      <c r="L20" s="17">
        <f t="shared" si="2"/>
        <v>40649.444400000008</v>
      </c>
      <c r="M20" s="56">
        <v>0</v>
      </c>
      <c r="N20" s="17">
        <f t="shared" si="3"/>
        <v>0</v>
      </c>
    </row>
    <row r="21" spans="1:14">
      <c r="A21" s="18" t="s">
        <v>28</v>
      </c>
      <c r="B21" s="13">
        <v>130000</v>
      </c>
      <c r="C21" s="13">
        <v>56000</v>
      </c>
      <c r="D21" s="15">
        <f t="shared" si="5"/>
        <v>186000</v>
      </c>
      <c r="E21" s="56">
        <v>0</v>
      </c>
      <c r="F21" s="30">
        <f t="shared" si="6"/>
        <v>0</v>
      </c>
      <c r="G21" s="55">
        <v>0.2</v>
      </c>
      <c r="H21" s="30">
        <f t="shared" si="4"/>
        <v>38316</v>
      </c>
      <c r="I21" s="56">
        <v>0</v>
      </c>
      <c r="J21" s="30">
        <f t="shared" si="1"/>
        <v>0</v>
      </c>
      <c r="K21" s="56">
        <v>0</v>
      </c>
      <c r="L21" s="17">
        <f t="shared" si="2"/>
        <v>0</v>
      </c>
      <c r="M21" s="56">
        <v>0</v>
      </c>
      <c r="N21" s="17">
        <f t="shared" si="3"/>
        <v>0</v>
      </c>
    </row>
    <row r="22" spans="1:14">
      <c r="A22" s="18" t="s">
        <v>29</v>
      </c>
      <c r="B22" s="13">
        <v>130000</v>
      </c>
      <c r="C22" s="13">
        <v>56000</v>
      </c>
      <c r="D22" s="15">
        <f t="shared" si="5"/>
        <v>186000</v>
      </c>
      <c r="E22" s="56">
        <v>0</v>
      </c>
      <c r="F22" s="30">
        <f t="shared" si="6"/>
        <v>0</v>
      </c>
      <c r="G22" s="55">
        <v>0.2</v>
      </c>
      <c r="H22" s="30">
        <f t="shared" si="4"/>
        <v>38316</v>
      </c>
      <c r="I22" s="56">
        <v>0</v>
      </c>
      <c r="J22" s="30">
        <f t="shared" si="1"/>
        <v>0</v>
      </c>
      <c r="K22" s="56">
        <v>0</v>
      </c>
      <c r="L22" s="17">
        <f t="shared" si="2"/>
        <v>0</v>
      </c>
      <c r="M22" s="56">
        <v>0</v>
      </c>
      <c r="N22" s="17">
        <f t="shared" si="3"/>
        <v>0</v>
      </c>
    </row>
    <row r="23" spans="1:14">
      <c r="A23" s="18" t="s">
        <v>30</v>
      </c>
      <c r="B23" s="13">
        <v>130000</v>
      </c>
      <c r="C23" s="13">
        <v>56000</v>
      </c>
      <c r="D23" s="15">
        <f t="shared" si="5"/>
        <v>186000</v>
      </c>
      <c r="E23" s="57">
        <v>0.5</v>
      </c>
      <c r="F23" s="30">
        <f t="shared" si="6"/>
        <v>93000</v>
      </c>
      <c r="G23" s="55">
        <v>0.2</v>
      </c>
      <c r="H23" s="30">
        <f t="shared" si="4"/>
        <v>38316</v>
      </c>
      <c r="I23" s="57">
        <v>0.25</v>
      </c>
      <c r="J23" s="30">
        <f t="shared" si="1"/>
        <v>49331.85</v>
      </c>
      <c r="K23" s="73">
        <v>0</v>
      </c>
      <c r="L23" s="17">
        <f t="shared" si="2"/>
        <v>0</v>
      </c>
      <c r="M23" s="73">
        <v>0</v>
      </c>
      <c r="N23" s="17">
        <f t="shared" si="3"/>
        <v>0</v>
      </c>
    </row>
    <row r="24" spans="1:14">
      <c r="A24" s="18" t="s">
        <v>31</v>
      </c>
      <c r="B24" s="13">
        <v>180000</v>
      </c>
      <c r="C24" s="13">
        <v>56000</v>
      </c>
      <c r="D24" s="15">
        <f t="shared" si="0"/>
        <v>236000</v>
      </c>
      <c r="E24" s="55"/>
      <c r="F24" s="30">
        <f>$E$24*$D$24</f>
        <v>0</v>
      </c>
      <c r="G24" s="55"/>
      <c r="H24" s="30">
        <f t="shared" si="4"/>
        <v>0</v>
      </c>
      <c r="I24" s="55">
        <v>1</v>
      </c>
      <c r="J24" s="30">
        <f t="shared" si="1"/>
        <v>250372.4</v>
      </c>
      <c r="K24" s="55">
        <v>1</v>
      </c>
      <c r="L24" s="17">
        <f t="shared" si="2"/>
        <v>257883.57200000001</v>
      </c>
      <c r="M24" s="55">
        <v>1</v>
      </c>
      <c r="N24" s="17">
        <f t="shared" si="3"/>
        <v>265620.07916000002</v>
      </c>
    </row>
    <row r="25" spans="1:14">
      <c r="A25" s="18" t="s">
        <v>32</v>
      </c>
      <c r="B25" s="13">
        <v>140000</v>
      </c>
      <c r="C25" s="13">
        <v>56000</v>
      </c>
      <c r="D25" s="15">
        <f t="shared" si="0"/>
        <v>196000</v>
      </c>
      <c r="E25" s="55"/>
      <c r="F25" s="30">
        <f>$E$25*$D$25</f>
        <v>0</v>
      </c>
      <c r="G25" s="55"/>
      <c r="H25" s="30">
        <f t="shared" si="4"/>
        <v>0</v>
      </c>
      <c r="I25" s="55">
        <v>1</v>
      </c>
      <c r="J25" s="30">
        <f t="shared" si="1"/>
        <v>207936.4</v>
      </c>
      <c r="K25" s="55">
        <v>1</v>
      </c>
      <c r="L25" s="17">
        <f t="shared" si="2"/>
        <v>214174.492</v>
      </c>
      <c r="M25" s="55">
        <v>1</v>
      </c>
      <c r="N25" s="17">
        <f t="shared" si="3"/>
        <v>220599.72675999999</v>
      </c>
    </row>
    <row r="26" spans="1:14">
      <c r="A26" s="18" t="s">
        <v>33</v>
      </c>
      <c r="B26" s="13">
        <v>100000</v>
      </c>
      <c r="C26" s="13">
        <v>56000</v>
      </c>
      <c r="D26" s="15">
        <f t="shared" si="0"/>
        <v>156000</v>
      </c>
      <c r="E26" s="55">
        <v>1</v>
      </c>
      <c r="F26" s="93">
        <f>$E$26*$D$26*0.5</f>
        <v>78000</v>
      </c>
      <c r="G26" s="55">
        <v>1</v>
      </c>
      <c r="H26" s="30">
        <f t="shared" si="4"/>
        <v>160680</v>
      </c>
      <c r="I26" s="55">
        <v>1</v>
      </c>
      <c r="J26" s="30">
        <f t="shared" si="1"/>
        <v>165500.4</v>
      </c>
      <c r="K26" s="55">
        <v>1</v>
      </c>
      <c r="L26" s="17">
        <f t="shared" si="2"/>
        <v>170465.41200000001</v>
      </c>
      <c r="M26" s="55">
        <v>1</v>
      </c>
      <c r="N26" s="17">
        <f t="shared" si="3"/>
        <v>175579.37436000002</v>
      </c>
    </row>
    <row r="27" spans="1:14" s="19" customFormat="1" ht="12.75">
      <c r="A27" s="18" t="s">
        <v>34</v>
      </c>
      <c r="B27" s="13">
        <v>100000</v>
      </c>
      <c r="C27" s="13">
        <v>56000</v>
      </c>
      <c r="D27" s="15">
        <f t="shared" si="0"/>
        <v>156000</v>
      </c>
      <c r="E27" s="55">
        <v>1</v>
      </c>
      <c r="F27" s="93">
        <f>$E$26*$D$26*0.5</f>
        <v>78000</v>
      </c>
      <c r="G27" s="55">
        <v>1</v>
      </c>
      <c r="H27" s="30">
        <f t="shared" si="4"/>
        <v>160680</v>
      </c>
      <c r="I27" s="55">
        <v>1</v>
      </c>
      <c r="J27" s="30">
        <f t="shared" si="1"/>
        <v>165500.4</v>
      </c>
      <c r="K27" s="55">
        <v>1</v>
      </c>
      <c r="L27" s="17">
        <f t="shared" si="2"/>
        <v>170465.41200000001</v>
      </c>
      <c r="M27" s="55">
        <v>1</v>
      </c>
      <c r="N27" s="17">
        <f t="shared" si="3"/>
        <v>175579.37436000002</v>
      </c>
    </row>
    <row r="28" spans="1:14">
      <c r="A28" s="59" t="s">
        <v>35</v>
      </c>
      <c r="B28" s="20">
        <v>100000</v>
      </c>
      <c r="C28" s="13">
        <v>56000</v>
      </c>
      <c r="D28" s="15">
        <f t="shared" si="0"/>
        <v>156000</v>
      </c>
      <c r="E28" s="56">
        <v>0</v>
      </c>
      <c r="F28" s="30">
        <v>0</v>
      </c>
      <c r="G28" s="56">
        <v>0</v>
      </c>
      <c r="H28" s="30">
        <f t="shared" si="4"/>
        <v>0</v>
      </c>
      <c r="I28" s="60">
        <v>1</v>
      </c>
      <c r="J28" s="30">
        <f t="shared" si="1"/>
        <v>165500.4</v>
      </c>
      <c r="K28" s="60">
        <v>1</v>
      </c>
      <c r="L28" s="17">
        <f t="shared" si="2"/>
        <v>170465.41200000001</v>
      </c>
      <c r="M28" s="60">
        <v>0</v>
      </c>
      <c r="N28" s="17">
        <f t="shared" si="3"/>
        <v>0</v>
      </c>
    </row>
    <row r="29" spans="1:14" ht="22.5">
      <c r="A29" s="61"/>
      <c r="B29" s="21" t="s">
        <v>36</v>
      </c>
      <c r="C29" s="22" t="s">
        <v>37</v>
      </c>
      <c r="D29" s="15"/>
      <c r="E29" s="62"/>
      <c r="F29" s="42">
        <f>SUM(F6:F28)</f>
        <v>1696800</v>
      </c>
      <c r="G29" s="42"/>
      <c r="H29" s="42">
        <f>SUM(H6:H28)</f>
        <v>2854542</v>
      </c>
      <c r="I29" s="42"/>
      <c r="J29" s="42">
        <f>SUM(J6:J28)</f>
        <v>3660423.2699999996</v>
      </c>
      <c r="K29" s="42"/>
      <c r="L29" s="23">
        <f>SUM(L6:L28)</f>
        <v>3548958.7506000004</v>
      </c>
      <c r="M29" s="42"/>
      <c r="N29" s="23">
        <f>SUM(N6:N28)</f>
        <v>3207700.1085000001</v>
      </c>
    </row>
    <row r="30" spans="1:14">
      <c r="A30" s="63" t="s">
        <v>38</v>
      </c>
      <c r="B30" s="24"/>
      <c r="C30" s="24"/>
      <c r="D30" s="25"/>
      <c r="E30" s="26"/>
      <c r="F30" s="27"/>
      <c r="G30" s="27"/>
      <c r="H30" s="27"/>
      <c r="I30" s="27"/>
      <c r="J30" s="27"/>
      <c r="K30" s="88" t="s">
        <v>39</v>
      </c>
      <c r="L30" s="28">
        <f>SUM(F29:L29)</f>
        <v>11760724.0206</v>
      </c>
      <c r="M30" s="27"/>
      <c r="N30" s="28">
        <f>SUM(N29)</f>
        <v>3207700.1085000001</v>
      </c>
    </row>
    <row r="31" spans="1:14" ht="24">
      <c r="A31" s="64" t="s">
        <v>40</v>
      </c>
      <c r="B31" s="29" t="s">
        <v>41</v>
      </c>
      <c r="C31" s="29" t="s">
        <v>41</v>
      </c>
      <c r="D31" s="15">
        <v>150000</v>
      </c>
      <c r="E31" s="56">
        <v>0</v>
      </c>
      <c r="F31" s="30">
        <f>$D$31*E$31</f>
        <v>0</v>
      </c>
      <c r="G31" s="55">
        <v>1</v>
      </c>
      <c r="H31" s="30">
        <f>$G31*(D31*1.03)</f>
        <v>154500</v>
      </c>
      <c r="I31" s="55">
        <v>2</v>
      </c>
      <c r="J31" s="30">
        <f>$I31*(D31*1.03*1.03)</f>
        <v>318270</v>
      </c>
      <c r="K31" s="55">
        <v>2</v>
      </c>
      <c r="L31" s="17">
        <f>$K31*(D31*1.03*1.03*1.03)</f>
        <v>327818.10000000003</v>
      </c>
      <c r="M31" s="55">
        <v>2</v>
      </c>
      <c r="N31" s="17">
        <f>$M31*(D31*1.03*1.03*1.03*1.03)</f>
        <v>337652.64300000004</v>
      </c>
    </row>
    <row r="32" spans="1:14" ht="24">
      <c r="A32" s="64" t="s">
        <v>42</v>
      </c>
      <c r="B32" s="29" t="s">
        <v>41</v>
      </c>
      <c r="C32" s="29" t="s">
        <v>41</v>
      </c>
      <c r="D32" s="15">
        <v>100000</v>
      </c>
      <c r="E32" s="55">
        <v>1</v>
      </c>
      <c r="F32" s="30">
        <f>D32*E32</f>
        <v>100000</v>
      </c>
      <c r="G32" s="55">
        <v>1</v>
      </c>
      <c r="H32" s="30">
        <f>$G32*(F32*1.03)</f>
        <v>103000</v>
      </c>
      <c r="I32" s="55">
        <v>1</v>
      </c>
      <c r="J32" s="30">
        <f t="shared" ref="J32:J37" si="7">$I32*(D32*1.03*1.03)</f>
        <v>106090</v>
      </c>
      <c r="K32" s="55">
        <v>1</v>
      </c>
      <c r="L32" s="17">
        <f t="shared" ref="L32:L37" si="8">$K32*(D32*1.03*1.03*1.03)</f>
        <v>109272.7</v>
      </c>
      <c r="M32" s="55">
        <v>1</v>
      </c>
      <c r="N32" s="17">
        <f>$M32*(D32*1.03*1.03*1.03*1.03)</f>
        <v>112550.88099999999</v>
      </c>
    </row>
    <row r="33" spans="1:14">
      <c r="A33" s="64" t="s">
        <v>43</v>
      </c>
      <c r="B33" s="29" t="s">
        <v>41</v>
      </c>
      <c r="C33" s="29" t="s">
        <v>41</v>
      </c>
      <c r="D33" s="15">
        <v>100000</v>
      </c>
      <c r="E33" s="55">
        <v>1</v>
      </c>
      <c r="F33" s="30">
        <f t="shared" ref="F33:F36" si="9">D33*E33</f>
        <v>100000</v>
      </c>
      <c r="G33" s="55">
        <v>1</v>
      </c>
      <c r="H33" s="30">
        <f>$G33*(F33*1.03)</f>
        <v>103000</v>
      </c>
      <c r="I33" s="55">
        <v>1</v>
      </c>
      <c r="J33" s="30">
        <f t="shared" si="7"/>
        <v>106090</v>
      </c>
      <c r="K33" s="55">
        <v>1</v>
      </c>
      <c r="L33" s="17">
        <f t="shared" si="8"/>
        <v>109272.7</v>
      </c>
      <c r="M33" s="55">
        <v>1</v>
      </c>
      <c r="N33" s="17">
        <f t="shared" ref="N33:N37" si="10">$M33*(D33*1.03*1.03*1.03*1.03)</f>
        <v>112550.88099999999</v>
      </c>
    </row>
    <row r="34" spans="1:14">
      <c r="A34" s="64" t="s">
        <v>44</v>
      </c>
      <c r="B34" s="29" t="s">
        <v>41</v>
      </c>
      <c r="C34" s="29" t="s">
        <v>41</v>
      </c>
      <c r="D34" s="15">
        <v>150000</v>
      </c>
      <c r="E34" s="58">
        <v>0</v>
      </c>
      <c r="F34" s="30">
        <f t="shared" si="9"/>
        <v>0</v>
      </c>
      <c r="G34" s="58">
        <v>1</v>
      </c>
      <c r="H34" s="30">
        <f t="shared" ref="H34:H36" si="11">$G34*(D34*1.03)</f>
        <v>154500</v>
      </c>
      <c r="I34" s="58">
        <v>1</v>
      </c>
      <c r="J34" s="30">
        <f t="shared" si="7"/>
        <v>159135</v>
      </c>
      <c r="K34" s="58">
        <v>1</v>
      </c>
      <c r="L34" s="17">
        <f t="shared" si="8"/>
        <v>163909.05000000002</v>
      </c>
      <c r="M34" s="58">
        <v>0.5</v>
      </c>
      <c r="N34" s="17">
        <f t="shared" si="10"/>
        <v>84413.16075000001</v>
      </c>
    </row>
    <row r="35" spans="1:14">
      <c r="A35" s="64" t="s">
        <v>45</v>
      </c>
      <c r="B35" s="29" t="s">
        <v>41</v>
      </c>
      <c r="C35" s="29" t="s">
        <v>41</v>
      </c>
      <c r="D35" s="15">
        <v>50000</v>
      </c>
      <c r="E35" s="55">
        <v>1</v>
      </c>
      <c r="F35" s="30">
        <f t="shared" si="9"/>
        <v>50000</v>
      </c>
      <c r="G35" s="55">
        <v>1</v>
      </c>
      <c r="H35" s="30">
        <f t="shared" si="11"/>
        <v>51500</v>
      </c>
      <c r="I35" s="55">
        <v>1</v>
      </c>
      <c r="J35" s="30">
        <f t="shared" si="7"/>
        <v>53045</v>
      </c>
      <c r="K35" s="55">
        <v>1</v>
      </c>
      <c r="L35" s="17">
        <f t="shared" si="8"/>
        <v>54636.35</v>
      </c>
      <c r="M35" s="55">
        <v>1</v>
      </c>
      <c r="N35" s="17">
        <f t="shared" si="10"/>
        <v>56275.440499999997</v>
      </c>
    </row>
    <row r="36" spans="1:14">
      <c r="A36" s="64" t="s">
        <v>46</v>
      </c>
      <c r="B36" s="29" t="s">
        <v>41</v>
      </c>
      <c r="C36" s="29" t="s">
        <v>41</v>
      </c>
      <c r="D36" s="15">
        <v>500000</v>
      </c>
      <c r="E36" s="56">
        <v>0</v>
      </c>
      <c r="F36" s="30">
        <f t="shared" si="9"/>
        <v>0</v>
      </c>
      <c r="G36" s="55">
        <v>1</v>
      </c>
      <c r="H36" s="30">
        <f t="shared" si="11"/>
        <v>515000</v>
      </c>
      <c r="I36" s="55">
        <v>2</v>
      </c>
      <c r="J36" s="30">
        <f t="shared" si="7"/>
        <v>1060900</v>
      </c>
      <c r="K36" s="55">
        <v>2</v>
      </c>
      <c r="L36" s="17">
        <f t="shared" si="8"/>
        <v>1092727</v>
      </c>
      <c r="M36" s="55">
        <v>2</v>
      </c>
      <c r="N36" s="17">
        <f t="shared" si="10"/>
        <v>1125508.81</v>
      </c>
    </row>
    <row r="37" spans="1:14">
      <c r="A37" s="64" t="s">
        <v>47</v>
      </c>
      <c r="B37" s="29"/>
      <c r="C37" s="29"/>
      <c r="D37" s="15">
        <v>500000</v>
      </c>
      <c r="E37" s="65">
        <v>0</v>
      </c>
      <c r="F37" s="30">
        <f>$E$37*$D$37</f>
        <v>0</v>
      </c>
      <c r="G37" s="49">
        <v>1</v>
      </c>
      <c r="H37" s="30">
        <f>$G$37*$D$37</f>
        <v>500000</v>
      </c>
      <c r="I37" s="49">
        <v>2</v>
      </c>
      <c r="J37" s="30">
        <f t="shared" si="7"/>
        <v>1060900</v>
      </c>
      <c r="K37" s="49">
        <v>2</v>
      </c>
      <c r="L37" s="17">
        <f t="shared" si="8"/>
        <v>1092727</v>
      </c>
      <c r="M37" s="49">
        <v>1</v>
      </c>
      <c r="N37" s="17">
        <f t="shared" si="10"/>
        <v>562754.40500000003</v>
      </c>
    </row>
    <row r="38" spans="1:14">
      <c r="A38" s="66"/>
      <c r="B38" s="31"/>
      <c r="C38" s="31"/>
      <c r="D38" s="15"/>
      <c r="E38" s="62"/>
      <c r="F38" s="42">
        <f>SUM(F31:F37)</f>
        <v>250000</v>
      </c>
      <c r="G38" s="42"/>
      <c r="H38" s="42">
        <f t="shared" ref="H38:L38" si="12">SUM(H31:H37)</f>
        <v>1581500</v>
      </c>
      <c r="I38" s="42"/>
      <c r="J38" s="42">
        <f>SUM(J31:J37)</f>
        <v>2864430</v>
      </c>
      <c r="K38" s="42"/>
      <c r="L38" s="23">
        <f t="shared" si="12"/>
        <v>2950362.9</v>
      </c>
      <c r="M38" s="42"/>
      <c r="N38" s="23">
        <f t="shared" ref="N38" si="13">SUM(N31:N37)</f>
        <v>2391706.2212500004</v>
      </c>
    </row>
    <row r="39" spans="1:14">
      <c r="A39" s="63" t="s">
        <v>48</v>
      </c>
      <c r="B39" s="24"/>
      <c r="C39" s="24"/>
      <c r="D39" s="32"/>
      <c r="E39" s="33"/>
      <c r="F39" s="34"/>
      <c r="G39" s="34"/>
      <c r="H39" s="34"/>
      <c r="I39" s="34"/>
      <c r="J39" s="34"/>
      <c r="K39" s="86" t="s">
        <v>49</v>
      </c>
      <c r="L39" s="28">
        <f>SUM(F38:L38)</f>
        <v>7646292.9000000004</v>
      </c>
      <c r="M39" s="34"/>
      <c r="N39" s="28">
        <f>SUM(N38)</f>
        <v>2391706.2212500004</v>
      </c>
    </row>
    <row r="40" spans="1:14">
      <c r="A40" s="64" t="s">
        <v>50</v>
      </c>
      <c r="B40" s="29" t="s">
        <v>41</v>
      </c>
      <c r="C40" s="29" t="s">
        <v>41</v>
      </c>
      <c r="D40" s="15">
        <v>2500000</v>
      </c>
      <c r="E40" s="56">
        <v>0</v>
      </c>
      <c r="F40" s="30">
        <v>0</v>
      </c>
      <c r="G40" s="30"/>
      <c r="H40" s="30">
        <v>0</v>
      </c>
      <c r="I40" s="30"/>
      <c r="J40" s="30">
        <f>D40*E40</f>
        <v>0</v>
      </c>
      <c r="K40" s="30"/>
      <c r="L40" s="17">
        <f>D40*(E40*0.2)</f>
        <v>0</v>
      </c>
      <c r="M40" s="30"/>
      <c r="N40" s="17">
        <f>F40*(G40*0.2)</f>
        <v>0</v>
      </c>
    </row>
    <row r="41" spans="1:14">
      <c r="A41" s="64" t="s">
        <v>51</v>
      </c>
      <c r="B41" s="29" t="s">
        <v>41</v>
      </c>
      <c r="C41" s="29" t="s">
        <v>41</v>
      </c>
      <c r="D41" s="15">
        <v>2500000</v>
      </c>
      <c r="E41" s="56">
        <v>0</v>
      </c>
      <c r="F41" s="30">
        <v>0</v>
      </c>
      <c r="G41" s="30"/>
      <c r="H41" s="30">
        <v>0</v>
      </c>
      <c r="I41" s="30"/>
      <c r="J41" s="30">
        <f>D41*E41</f>
        <v>0</v>
      </c>
      <c r="K41" s="30"/>
      <c r="L41" s="17">
        <f>D41*(E41*0.2)</f>
        <v>0</v>
      </c>
      <c r="M41" s="30"/>
      <c r="N41" s="17">
        <f>F41*(G41*0.2)</f>
        <v>0</v>
      </c>
    </row>
    <row r="42" spans="1:14">
      <c r="A42" s="64" t="s">
        <v>52</v>
      </c>
      <c r="B42" s="29"/>
      <c r="C42" s="29"/>
      <c r="D42" s="15">
        <v>1000000</v>
      </c>
      <c r="E42" s="56">
        <v>0</v>
      </c>
      <c r="F42" s="30"/>
      <c r="G42" s="30"/>
      <c r="H42" s="30"/>
      <c r="I42" s="30"/>
      <c r="J42" s="30">
        <f>E42*$D$42</f>
        <v>0</v>
      </c>
      <c r="K42" s="30"/>
      <c r="L42" s="17"/>
      <c r="M42" s="30"/>
      <c r="N42" s="17"/>
    </row>
    <row r="43" spans="1:14">
      <c r="A43" s="64" t="s">
        <v>53</v>
      </c>
      <c r="B43" s="29"/>
      <c r="C43" s="29"/>
      <c r="D43" s="15">
        <v>360000</v>
      </c>
      <c r="E43" s="56">
        <v>0</v>
      </c>
      <c r="F43" s="30"/>
      <c r="G43" s="30"/>
      <c r="H43" s="30"/>
      <c r="I43" s="30"/>
      <c r="J43" s="30">
        <f>E43*$D$43</f>
        <v>0</v>
      </c>
      <c r="K43" s="30"/>
      <c r="L43" s="17"/>
      <c r="M43" s="30"/>
      <c r="N43" s="17"/>
    </row>
    <row r="44" spans="1:14">
      <c r="A44" s="66"/>
      <c r="B44" s="31"/>
      <c r="C44" s="31"/>
      <c r="D44" s="35"/>
      <c r="E44" s="56"/>
      <c r="F44" s="42">
        <f>SUM(F40:F43)</f>
        <v>0</v>
      </c>
      <c r="G44" s="42"/>
      <c r="H44" s="42">
        <f>SUM(H40:H43)</f>
        <v>0</v>
      </c>
      <c r="I44" s="42"/>
      <c r="J44" s="42">
        <f>SUM(J40:J43)</f>
        <v>0</v>
      </c>
      <c r="K44" s="42"/>
      <c r="L44" s="23">
        <f>SUM(L40:L43)</f>
        <v>0</v>
      </c>
      <c r="M44" s="42"/>
      <c r="N44" s="23">
        <f>SUM(N40:N43)</f>
        <v>0</v>
      </c>
    </row>
    <row r="45" spans="1:14">
      <c r="A45" s="63" t="s">
        <v>54</v>
      </c>
      <c r="B45" s="24"/>
      <c r="C45" s="24"/>
      <c r="D45" s="32"/>
      <c r="E45" s="36"/>
      <c r="F45" s="34"/>
      <c r="G45" s="34"/>
      <c r="H45" s="34"/>
      <c r="I45" s="34"/>
      <c r="J45" s="34"/>
      <c r="K45" s="86" t="s">
        <v>55</v>
      </c>
      <c r="L45" s="28">
        <f>SUM(F44:L44)</f>
        <v>0</v>
      </c>
      <c r="M45" s="34"/>
      <c r="N45" s="28">
        <f>SUM(H44:N44)</f>
        <v>0</v>
      </c>
    </row>
    <row r="46" spans="1:14">
      <c r="A46" s="64" t="s">
        <v>56</v>
      </c>
      <c r="B46" s="29" t="s">
        <v>41</v>
      </c>
      <c r="C46" s="29" t="s">
        <v>41</v>
      </c>
      <c r="D46" s="15">
        <v>260000</v>
      </c>
      <c r="E46" s="55">
        <v>3</v>
      </c>
      <c r="F46" s="93">
        <f>$D$46*$E$46*0.5</f>
        <v>390000</v>
      </c>
      <c r="G46" s="50">
        <v>4</v>
      </c>
      <c r="H46" s="30">
        <f>$G46*(D46*1.03)</f>
        <v>1071200</v>
      </c>
      <c r="I46" s="60">
        <v>4</v>
      </c>
      <c r="J46" s="30">
        <f>$I$46*(D46*1.03*1.03)</f>
        <v>1103336</v>
      </c>
      <c r="K46" s="50">
        <v>4</v>
      </c>
      <c r="L46" s="17">
        <f>$D$46*(K46*1.03*1.03*1.03)</f>
        <v>1136436.08</v>
      </c>
      <c r="M46" s="50">
        <v>2</v>
      </c>
      <c r="N46" s="17">
        <f>$D$46*(M46*1.03*1.03*1.03)</f>
        <v>568218.04</v>
      </c>
    </row>
    <row r="47" spans="1:14">
      <c r="A47" s="66"/>
      <c r="B47" s="31"/>
      <c r="C47" s="31"/>
      <c r="D47" s="35"/>
      <c r="E47" s="37"/>
      <c r="F47" s="42">
        <f>SUM(F46:F46)</f>
        <v>390000</v>
      </c>
      <c r="G47" s="42"/>
      <c r="H47" s="42">
        <f>SUM(H46:H46)</f>
        <v>1071200</v>
      </c>
      <c r="I47" s="42"/>
      <c r="J47" s="42">
        <f>SUM(J46:J46)</f>
        <v>1103336</v>
      </c>
      <c r="K47" s="42"/>
      <c r="L47" s="23">
        <f>SUM(L46:L46)</f>
        <v>1136436.08</v>
      </c>
      <c r="M47" s="42"/>
      <c r="N47" s="23">
        <f>SUM(N46:N46)</f>
        <v>568218.04</v>
      </c>
    </row>
    <row r="48" spans="1:14" ht="30">
      <c r="A48" s="66"/>
      <c r="B48" s="31"/>
      <c r="C48" s="31"/>
      <c r="D48" s="35"/>
      <c r="E48" s="37"/>
      <c r="F48" s="42"/>
      <c r="G48" s="42"/>
      <c r="H48" s="42"/>
      <c r="I48" s="42"/>
      <c r="J48" s="42"/>
      <c r="K48" s="89" t="s">
        <v>57</v>
      </c>
      <c r="L48" s="38">
        <f>SUM(F47:L47)</f>
        <v>3700972.08</v>
      </c>
      <c r="M48" s="42"/>
      <c r="N48" s="38">
        <f>SUM(N47)</f>
        <v>568218.04</v>
      </c>
    </row>
    <row r="49" spans="1:14">
      <c r="A49" s="63" t="s">
        <v>58</v>
      </c>
      <c r="B49" s="24"/>
      <c r="C49" s="24"/>
      <c r="D49" s="32"/>
      <c r="E49" s="36"/>
      <c r="F49" s="34"/>
      <c r="G49" s="34"/>
      <c r="H49" s="34"/>
      <c r="I49" s="34"/>
      <c r="J49" s="34"/>
      <c r="K49" s="72"/>
      <c r="L49" s="32"/>
      <c r="M49" s="34"/>
      <c r="N49" s="32"/>
    </row>
    <row r="50" spans="1:14">
      <c r="A50" s="67" t="s">
        <v>59</v>
      </c>
      <c r="B50" s="29" t="s">
        <v>41</v>
      </c>
      <c r="C50" s="29" t="s">
        <v>41</v>
      </c>
      <c r="D50" s="39">
        <v>0.13</v>
      </c>
      <c r="E50" s="56">
        <v>0</v>
      </c>
      <c r="F50" s="30">
        <f>F38*$D$50*E50</f>
        <v>0</v>
      </c>
      <c r="G50" s="50">
        <v>1</v>
      </c>
      <c r="H50" s="30">
        <f>H38*$D$50</f>
        <v>205595</v>
      </c>
      <c r="I50" s="50">
        <v>1</v>
      </c>
      <c r="J50" s="30">
        <f>J38*$D$50</f>
        <v>372375.9</v>
      </c>
      <c r="K50" s="50">
        <v>1</v>
      </c>
      <c r="L50" s="17">
        <f>L38*$D$50</f>
        <v>383547.17700000003</v>
      </c>
      <c r="M50" s="30"/>
      <c r="N50" s="17">
        <v>0</v>
      </c>
    </row>
    <row r="51" spans="1:14">
      <c r="A51" s="67" t="s">
        <v>60</v>
      </c>
      <c r="B51" s="29" t="s">
        <v>41</v>
      </c>
      <c r="C51" s="29" t="s">
        <v>41</v>
      </c>
      <c r="D51" s="39">
        <v>0.15</v>
      </c>
      <c r="E51" s="56"/>
      <c r="F51" s="30">
        <f>F44*$D$51</f>
        <v>0</v>
      </c>
      <c r="G51" s="50"/>
      <c r="H51" s="30">
        <f>H44*$D$51</f>
        <v>0</v>
      </c>
      <c r="I51" s="50"/>
      <c r="J51" s="30">
        <f>J44*$D$51</f>
        <v>0</v>
      </c>
      <c r="K51" s="50"/>
      <c r="L51" s="17">
        <f>L44*$D$51</f>
        <v>0</v>
      </c>
      <c r="M51" s="30"/>
      <c r="N51" s="17">
        <f>N44*$D$51</f>
        <v>0</v>
      </c>
    </row>
    <row r="52" spans="1:14">
      <c r="A52" s="67" t="s">
        <v>61</v>
      </c>
      <c r="B52" s="29" t="s">
        <v>41</v>
      </c>
      <c r="C52" s="29" t="s">
        <v>41</v>
      </c>
      <c r="D52" s="39">
        <v>0.2</v>
      </c>
      <c r="E52" s="65">
        <v>0</v>
      </c>
      <c r="F52" s="30">
        <f>F47*$D$52*E52</f>
        <v>0</v>
      </c>
      <c r="G52" s="50"/>
      <c r="H52" s="30">
        <f>H47*$D$52</f>
        <v>214240</v>
      </c>
      <c r="I52" s="50"/>
      <c r="J52" s="30">
        <f>J47*$D$52</f>
        <v>220667.2</v>
      </c>
      <c r="K52" s="50"/>
      <c r="L52" s="17">
        <f>L47*$D$52</f>
        <v>227287.21600000001</v>
      </c>
      <c r="M52" s="30"/>
      <c r="N52" s="17">
        <v>0</v>
      </c>
    </row>
    <row r="53" spans="1:14">
      <c r="A53" s="67"/>
      <c r="B53" s="40"/>
      <c r="C53" s="40"/>
      <c r="D53" s="41"/>
      <c r="E53" s="55"/>
      <c r="F53" s="42">
        <f>SUM(F50:F52)</f>
        <v>0</v>
      </c>
      <c r="G53" s="50">
        <v>1</v>
      </c>
      <c r="H53" s="42">
        <f>SUM(H50:H52)</f>
        <v>419835</v>
      </c>
      <c r="I53" s="50">
        <v>1</v>
      </c>
      <c r="J53" s="42">
        <f>SUM(J50:J52)</f>
        <v>593043.10000000009</v>
      </c>
      <c r="K53" s="50">
        <v>1</v>
      </c>
      <c r="L53" s="23">
        <f>SUM(L50:L52)</f>
        <v>610834.39300000004</v>
      </c>
      <c r="M53" s="42"/>
      <c r="N53" s="23">
        <f>SUM(N50:N52)</f>
        <v>0</v>
      </c>
    </row>
    <row r="54" spans="1:14">
      <c r="A54" s="64"/>
      <c r="B54" s="43"/>
      <c r="C54" s="43"/>
      <c r="D54" s="35"/>
      <c r="E54" s="55"/>
      <c r="F54" s="68"/>
      <c r="G54" s="68"/>
      <c r="H54" s="68"/>
      <c r="I54" s="69"/>
      <c r="J54" s="68"/>
      <c r="K54" s="87" t="s">
        <v>62</v>
      </c>
      <c r="L54" s="28">
        <f>SUM(F53:L53)</f>
        <v>1623715.4930000002</v>
      </c>
      <c r="M54" s="74"/>
      <c r="N54" s="28"/>
    </row>
    <row r="55" spans="1:14">
      <c r="A55" s="100" t="s">
        <v>63</v>
      </c>
      <c r="B55" s="44"/>
      <c r="C55" s="44"/>
      <c r="D55" s="45"/>
      <c r="E55" s="78"/>
      <c r="F55" s="46">
        <f>SUM(F29,F38,F47,F53,F44)</f>
        <v>2336800</v>
      </c>
      <c r="G55" s="46"/>
      <c r="H55" s="46">
        <f>SUM(H29,H38,H47,H53,H44)</f>
        <v>5927077</v>
      </c>
      <c r="I55" s="46"/>
      <c r="J55" s="46">
        <f>SUM(J29,J38,J47,J53,J44)</f>
        <v>8221232.3699999992</v>
      </c>
      <c r="K55" s="46"/>
      <c r="L55" s="70">
        <f>SUM(L29,L38,L47,L53,L44)</f>
        <v>8246592.1236000005</v>
      </c>
      <c r="M55" s="76"/>
      <c r="N55" s="70">
        <f>SUM(N29,N38,N47,N53,N44)</f>
        <v>6167624.3697500005</v>
      </c>
    </row>
    <row r="56" spans="1:14">
      <c r="A56" s="101"/>
      <c r="B56" s="47"/>
      <c r="C56" s="47"/>
      <c r="D56" s="37"/>
      <c r="E56" s="79"/>
      <c r="F56" s="105">
        <f>SUM(F55:L55)</f>
        <v>24731701.4936</v>
      </c>
      <c r="G56" s="105"/>
      <c r="H56" s="105"/>
      <c r="I56" s="105"/>
      <c r="J56" s="105"/>
      <c r="K56" s="105"/>
      <c r="L56" s="106"/>
      <c r="N56" s="77"/>
    </row>
    <row r="57" spans="1:14">
      <c r="A57" s="98" t="s">
        <v>64</v>
      </c>
      <c r="B57" s="75"/>
      <c r="C57" s="75"/>
      <c r="D57" s="76"/>
      <c r="E57" s="80"/>
      <c r="F57" s="46">
        <v>6175000</v>
      </c>
      <c r="G57" s="46"/>
      <c r="H57" s="46">
        <v>6175000</v>
      </c>
      <c r="I57" s="46"/>
      <c r="J57" s="46">
        <v>6175000</v>
      </c>
      <c r="K57" s="46"/>
      <c r="L57" s="70">
        <v>6175000</v>
      </c>
      <c r="M57" s="80"/>
      <c r="N57" s="83">
        <v>6175000</v>
      </c>
    </row>
    <row r="58" spans="1:14">
      <c r="A58" s="99"/>
      <c r="B58" s="71"/>
      <c r="C58" s="71"/>
      <c r="D58" s="72"/>
      <c r="E58" s="81"/>
      <c r="F58" s="96">
        <f>SUM(F57:L57)</f>
        <v>24700000</v>
      </c>
      <c r="G58" s="96"/>
      <c r="H58" s="96"/>
      <c r="I58" s="96"/>
      <c r="J58" s="96"/>
      <c r="K58" s="96"/>
      <c r="L58" s="97"/>
      <c r="M58" s="81"/>
      <c r="N58" s="82"/>
    </row>
    <row r="59" spans="1:14">
      <c r="A59" s="100" t="s">
        <v>65</v>
      </c>
      <c r="E59" s="48"/>
      <c r="F59" s="84">
        <f>F57-F55</f>
        <v>3838200</v>
      </c>
      <c r="G59" s="84"/>
      <c r="H59" s="84">
        <f t="shared" ref="H59:L59" si="14">H57-H55</f>
        <v>247923</v>
      </c>
      <c r="I59" s="84"/>
      <c r="J59" s="84">
        <f t="shared" si="14"/>
        <v>-2046232.3699999992</v>
      </c>
      <c r="K59" s="84"/>
      <c r="L59" s="85">
        <f t="shared" si="14"/>
        <v>-2071592.1236000005</v>
      </c>
      <c r="N59" s="77"/>
    </row>
    <row r="60" spans="1:14">
      <c r="A60" s="101"/>
      <c r="B60" s="71"/>
      <c r="C60" s="71"/>
      <c r="D60" s="72"/>
      <c r="E60" s="81"/>
      <c r="F60" s="72"/>
      <c r="G60" s="72"/>
      <c r="H60" s="72"/>
      <c r="I60" s="72"/>
      <c r="J60" s="72"/>
      <c r="K60" s="72"/>
      <c r="L60" s="90">
        <f>F58-F56</f>
        <v>-31701.493599999696</v>
      </c>
      <c r="M60" s="72"/>
      <c r="N60" s="90">
        <f>N57-N55</f>
        <v>7375.6302499994636</v>
      </c>
    </row>
    <row r="61" spans="1:14" ht="75">
      <c r="A61" s="2" t="s">
        <v>66</v>
      </c>
    </row>
    <row r="63" spans="1:14">
      <c r="D63" s="1" t="s">
        <v>67</v>
      </c>
      <c r="E63" s="1">
        <f>SUM(E6:E27,E46)</f>
        <v>15.799999999999999</v>
      </c>
      <c r="G63" s="1">
        <f t="shared" ref="G63:I63" si="15">SUM(G6:G27,G46)</f>
        <v>17.899999999999999</v>
      </c>
      <c r="I63" s="1">
        <f t="shared" si="15"/>
        <v>20.549999999999997</v>
      </c>
      <c r="K63" s="1">
        <f>SUM(K6:K28,K46)</f>
        <v>20.299999999999997</v>
      </c>
    </row>
    <row r="66" spans="5:11">
      <c r="E66" s="1">
        <f>E63-E46</f>
        <v>12.799999999999999</v>
      </c>
      <c r="G66" s="1">
        <f>G63-G46</f>
        <v>13.899999999999999</v>
      </c>
      <c r="I66" s="1">
        <f>I63-I46</f>
        <v>16.549999999999997</v>
      </c>
      <c r="K66" s="1">
        <f>K63-K46</f>
        <v>16.299999999999997</v>
      </c>
    </row>
    <row r="67" spans="5:11">
      <c r="E67" s="1">
        <f>E63-E66</f>
        <v>3</v>
      </c>
    </row>
  </sheetData>
  <mergeCells count="8">
    <mergeCell ref="F58:L58"/>
    <mergeCell ref="A57:A58"/>
    <mergeCell ref="A59:A60"/>
    <mergeCell ref="A55:A56"/>
    <mergeCell ref="A1:D2"/>
    <mergeCell ref="D3:L3"/>
    <mergeCell ref="F56:L56"/>
    <mergeCell ref="E1:G2"/>
  </mergeCells>
  <pageMargins left="0.7" right="0.7" top="0.75" bottom="0.75" header="0.3" footer="0.3"/>
  <pageSetup paperSize="9" orientation="portrait" r:id="rId1"/>
  <headerFooter>
    <oddHeader>&amp;C&amp;"Calibri"&amp;9&amp;K000000 [IN-CONFIDENCE]&amp;1#_x000D_</oddHeader>
    <oddFooter>&amp;C_x000D_&amp;1#&amp;"Calibri"&amp;9&amp;K000000 [IN-CONFIDENCE]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A87F2-4B82-414A-A68B-FED6FEF41FD0}">
  <sheetPr>
    <tabColor theme="5" tint="0.79998168889431442"/>
  </sheetPr>
  <dimension ref="A1:N67"/>
  <sheetViews>
    <sheetView zoomScaleNormal="100" workbookViewId="0">
      <pane xSplit="1" ySplit="5" topLeftCell="B37" activePane="bottomRight" state="frozen"/>
      <selection pane="bottomRight" activeCell="B61" sqref="B61"/>
      <selection pane="bottomLeft" activeCell="A6" sqref="A6"/>
      <selection pane="topRight" activeCell="B1" sqref="B1"/>
    </sheetView>
  </sheetViews>
  <sheetFormatPr defaultRowHeight="15"/>
  <cols>
    <col min="1" max="1" width="24.7109375" style="2" bestFit="1" customWidth="1"/>
    <col min="2" max="3" width="22.7109375" style="2" customWidth="1"/>
    <col min="4" max="4" width="14.28515625" style="1" bestFit="1" customWidth="1"/>
    <col min="5" max="5" width="14.28515625" style="1" customWidth="1"/>
    <col min="6" max="6" width="14.28515625" style="1" bestFit="1" customWidth="1"/>
    <col min="7" max="7" width="14.28515625" style="1" customWidth="1"/>
    <col min="8" max="8" width="14.28515625" style="1" bestFit="1" customWidth="1"/>
    <col min="9" max="9" width="14.28515625" style="1" customWidth="1"/>
    <col min="10" max="10" width="15.28515625" style="1" bestFit="1" customWidth="1"/>
    <col min="11" max="11" width="15.28515625" style="1" customWidth="1"/>
    <col min="12" max="12" width="15.28515625" style="1" bestFit="1" customWidth="1"/>
    <col min="13" max="13" width="14.28515625" style="1" bestFit="1" customWidth="1"/>
    <col min="14" max="14" width="14.5703125" style="1" bestFit="1" customWidth="1"/>
    <col min="15" max="16384" width="9.140625" style="1"/>
  </cols>
  <sheetData>
    <row r="1" spans="1:14" ht="22.5" customHeight="1">
      <c r="A1" s="102" t="s">
        <v>0</v>
      </c>
      <c r="B1" s="102"/>
      <c r="C1" s="102"/>
      <c r="D1" s="102"/>
      <c r="E1" s="107" t="s">
        <v>1</v>
      </c>
      <c r="F1" s="107"/>
      <c r="G1" s="107"/>
      <c r="H1" s="94"/>
      <c r="I1" s="94"/>
      <c r="J1" s="94"/>
      <c r="K1" s="94"/>
      <c r="L1" s="94"/>
    </row>
    <row r="2" spans="1:14" ht="23.25" customHeight="1">
      <c r="A2" s="102"/>
      <c r="B2" s="102"/>
      <c r="C2" s="102"/>
      <c r="D2" s="102"/>
      <c r="E2" s="107"/>
      <c r="F2" s="107"/>
      <c r="G2" s="107"/>
      <c r="H2" s="94"/>
      <c r="I2" s="94"/>
      <c r="J2" s="94"/>
      <c r="K2" s="94"/>
      <c r="L2" s="94"/>
    </row>
    <row r="3" spans="1:14">
      <c r="D3" s="103" t="s">
        <v>2</v>
      </c>
      <c r="E3" s="103"/>
      <c r="F3" s="103"/>
      <c r="G3" s="103"/>
      <c r="H3" s="103"/>
      <c r="I3" s="103"/>
      <c r="J3" s="103"/>
      <c r="K3" s="103"/>
      <c r="L3" s="104"/>
    </row>
    <row r="4" spans="1:14" s="7" customFormat="1">
      <c r="A4" s="5"/>
      <c r="B4" s="6" t="s">
        <v>3</v>
      </c>
      <c r="C4" s="6" t="s">
        <v>4</v>
      </c>
      <c r="D4" s="4" t="s">
        <v>5</v>
      </c>
      <c r="E4" s="3" t="s">
        <v>6</v>
      </c>
      <c r="F4" s="3" t="s">
        <v>7</v>
      </c>
      <c r="G4" s="3" t="s">
        <v>6</v>
      </c>
      <c r="H4" s="3" t="s">
        <v>8</v>
      </c>
      <c r="I4" s="3" t="s">
        <v>6</v>
      </c>
      <c r="J4" s="3" t="s">
        <v>9</v>
      </c>
      <c r="K4" s="3" t="s">
        <v>6</v>
      </c>
      <c r="L4" s="4" t="s">
        <v>10</v>
      </c>
      <c r="M4" s="3" t="s">
        <v>6</v>
      </c>
      <c r="N4" s="4" t="s">
        <v>11</v>
      </c>
    </row>
    <row r="5" spans="1:14">
      <c r="A5" s="8" t="s">
        <v>12</v>
      </c>
      <c r="B5" s="9"/>
      <c r="C5" s="10"/>
      <c r="D5" s="11"/>
      <c r="E5" s="10"/>
      <c r="F5" s="12"/>
      <c r="G5" s="12"/>
      <c r="H5" s="12"/>
      <c r="I5" s="12"/>
      <c r="J5" s="12"/>
      <c r="K5" s="12"/>
      <c r="L5" s="11"/>
    </row>
    <row r="6" spans="1:14">
      <c r="A6" s="51" t="s">
        <v>13</v>
      </c>
      <c r="B6" s="14">
        <v>150000</v>
      </c>
      <c r="C6" s="14">
        <v>56000</v>
      </c>
      <c r="D6" s="52">
        <f>SUM(B6:C6)</f>
        <v>206000</v>
      </c>
      <c r="E6" s="91">
        <v>1</v>
      </c>
      <c r="F6" s="92">
        <f>$E$6*D6*0.5</f>
        <v>103000</v>
      </c>
      <c r="G6" s="91">
        <v>1</v>
      </c>
      <c r="H6" s="53">
        <f>$G6*(D6*1.03)</f>
        <v>212180</v>
      </c>
      <c r="I6" s="54">
        <v>1</v>
      </c>
      <c r="J6" s="53">
        <f>$I6*(D6*1.03*1.03)</f>
        <v>218545.4</v>
      </c>
      <c r="K6" s="54">
        <v>1</v>
      </c>
      <c r="L6" s="16">
        <f>$K6*(D6*1.03*1.03*1.03)</f>
        <v>225101.76199999999</v>
      </c>
      <c r="M6" s="54">
        <v>1</v>
      </c>
      <c r="N6" s="16">
        <f>$M6*(D6*1.03*1.03*1.03*1.03)</f>
        <v>231854.81485999998</v>
      </c>
    </row>
    <row r="7" spans="1:14">
      <c r="A7" s="18" t="s">
        <v>14</v>
      </c>
      <c r="B7" s="13">
        <v>168000</v>
      </c>
      <c r="C7" s="13">
        <v>56000</v>
      </c>
      <c r="D7" s="15">
        <f t="shared" ref="D7:D28" si="0">SUM(B7:C7)</f>
        <v>224000</v>
      </c>
      <c r="E7" s="55">
        <v>2</v>
      </c>
      <c r="F7" s="93">
        <f>$E$7*D7*0.5</f>
        <v>224000</v>
      </c>
      <c r="G7" s="55">
        <v>2</v>
      </c>
      <c r="H7" s="30">
        <f>$G7*(D7*1.03)</f>
        <v>461440</v>
      </c>
      <c r="I7" s="55">
        <v>2</v>
      </c>
      <c r="J7" s="30">
        <f>$I7*(D7*1.03*1.03)</f>
        <v>475283.20000000001</v>
      </c>
      <c r="K7" s="55">
        <v>2</v>
      </c>
      <c r="L7" s="17">
        <f>$K7*(D7*1.03*1.03*1.03)</f>
        <v>489541.696</v>
      </c>
      <c r="M7" s="55">
        <v>2</v>
      </c>
      <c r="N7" s="17">
        <f>$M7*(D7*1.03*1.03*1.03*1.03)</f>
        <v>504227.94688</v>
      </c>
    </row>
    <row r="8" spans="1:14">
      <c r="A8" s="18" t="s">
        <v>15</v>
      </c>
      <c r="B8" s="13">
        <v>220000</v>
      </c>
      <c r="C8" s="13">
        <v>56000</v>
      </c>
      <c r="D8" s="15">
        <f t="shared" si="0"/>
        <v>276000</v>
      </c>
      <c r="E8" s="55">
        <v>1</v>
      </c>
      <c r="F8" s="30">
        <f>$E$8*D8</f>
        <v>276000</v>
      </c>
      <c r="G8" s="55">
        <v>0</v>
      </c>
      <c r="H8" s="30">
        <f>$G8*(D8*1.03)</f>
        <v>0</v>
      </c>
      <c r="I8" s="55">
        <v>0</v>
      </c>
      <c r="J8" s="30">
        <f t="shared" ref="J8:J28" si="1">$I8*(D8*1.03*1.03)</f>
        <v>0</v>
      </c>
      <c r="K8" s="55">
        <v>0</v>
      </c>
      <c r="L8" s="17">
        <f t="shared" ref="L8:L28" si="2">$K8*(D8*1.03*1.03*1.03)</f>
        <v>0</v>
      </c>
      <c r="M8" s="55">
        <v>0</v>
      </c>
      <c r="N8" s="17">
        <f t="shared" ref="N8:N28" si="3">$M8*(D8*1.03*1.03*1.03*1.03)</f>
        <v>0</v>
      </c>
    </row>
    <row r="9" spans="1:14">
      <c r="A9" s="18" t="s">
        <v>16</v>
      </c>
      <c r="B9" s="13">
        <v>180000</v>
      </c>
      <c r="C9" s="13">
        <v>56000</v>
      </c>
      <c r="D9" s="15">
        <f t="shared" si="0"/>
        <v>236000</v>
      </c>
      <c r="E9" s="55">
        <v>1</v>
      </c>
      <c r="F9" s="93">
        <f>$E$9*D9*0.5</f>
        <v>118000</v>
      </c>
      <c r="G9" s="55">
        <v>1</v>
      </c>
      <c r="H9" s="30">
        <f>$G9*(D9*1.03)</f>
        <v>243080</v>
      </c>
      <c r="I9" s="55">
        <v>1</v>
      </c>
      <c r="J9" s="30">
        <f t="shared" si="1"/>
        <v>250372.4</v>
      </c>
      <c r="K9" s="55">
        <v>1</v>
      </c>
      <c r="L9" s="17">
        <f t="shared" si="2"/>
        <v>257883.57200000001</v>
      </c>
      <c r="M9" s="55">
        <v>1</v>
      </c>
      <c r="N9" s="17">
        <f t="shared" si="3"/>
        <v>265620.07916000002</v>
      </c>
    </row>
    <row r="10" spans="1:14">
      <c r="A10" s="18" t="s">
        <v>17</v>
      </c>
      <c r="B10" s="13">
        <v>130000</v>
      </c>
      <c r="C10" s="13">
        <v>56000</v>
      </c>
      <c r="D10" s="15">
        <f t="shared" si="0"/>
        <v>186000</v>
      </c>
      <c r="E10" s="56">
        <v>0</v>
      </c>
      <c r="F10" s="30">
        <f>$E$10*$D$10</f>
        <v>0</v>
      </c>
      <c r="G10" s="56">
        <v>0</v>
      </c>
      <c r="H10" s="30">
        <f t="shared" ref="H10:H28" si="4">$G10*(D10*1.03)</f>
        <v>0</v>
      </c>
      <c r="I10" s="56">
        <v>0</v>
      </c>
      <c r="J10" s="30">
        <f t="shared" si="1"/>
        <v>0</v>
      </c>
      <c r="K10" s="56">
        <v>0</v>
      </c>
      <c r="L10" s="17">
        <f t="shared" si="2"/>
        <v>0</v>
      </c>
      <c r="M10" s="56">
        <v>0</v>
      </c>
      <c r="N10" s="17">
        <f t="shared" si="3"/>
        <v>0</v>
      </c>
    </row>
    <row r="11" spans="1:14">
      <c r="A11" s="18" t="s">
        <v>18</v>
      </c>
      <c r="B11" s="13">
        <v>150000</v>
      </c>
      <c r="C11" s="13">
        <v>56000</v>
      </c>
      <c r="D11" s="15">
        <f>SUM(B11:C11)</f>
        <v>206000</v>
      </c>
      <c r="E11" s="55">
        <v>0</v>
      </c>
      <c r="F11" s="93">
        <f>$E$11*$D$11*0.5</f>
        <v>0</v>
      </c>
      <c r="G11" s="56">
        <v>0</v>
      </c>
      <c r="H11" s="30">
        <f t="shared" si="4"/>
        <v>0</v>
      </c>
      <c r="I11" s="56">
        <v>0</v>
      </c>
      <c r="J11" s="30">
        <f t="shared" si="1"/>
        <v>0</v>
      </c>
      <c r="K11" s="56">
        <v>0</v>
      </c>
      <c r="L11" s="17">
        <f t="shared" si="2"/>
        <v>0</v>
      </c>
      <c r="M11" s="56">
        <v>0</v>
      </c>
      <c r="N11" s="17">
        <f t="shared" si="3"/>
        <v>0</v>
      </c>
    </row>
    <row r="12" spans="1:14">
      <c r="A12" s="18" t="s">
        <v>19</v>
      </c>
      <c r="B12" s="13">
        <v>180000</v>
      </c>
      <c r="C12" s="13">
        <v>56000</v>
      </c>
      <c r="D12" s="15">
        <f>SUM(B12:C12)</f>
        <v>236000</v>
      </c>
      <c r="E12" s="56">
        <v>0</v>
      </c>
      <c r="F12" s="30">
        <f>E12*D12</f>
        <v>0</v>
      </c>
      <c r="G12" s="56">
        <v>0</v>
      </c>
      <c r="H12" s="30">
        <f t="shared" si="4"/>
        <v>0</v>
      </c>
      <c r="I12" s="56">
        <v>0</v>
      </c>
      <c r="J12" s="30">
        <f t="shared" si="1"/>
        <v>0</v>
      </c>
      <c r="K12" s="56">
        <v>0</v>
      </c>
      <c r="L12" s="17">
        <f t="shared" si="2"/>
        <v>0</v>
      </c>
      <c r="M12" s="56">
        <v>0</v>
      </c>
      <c r="N12" s="17">
        <f t="shared" si="3"/>
        <v>0</v>
      </c>
    </row>
    <row r="13" spans="1:14">
      <c r="A13" s="18" t="s">
        <v>20</v>
      </c>
      <c r="B13" s="13">
        <v>180000</v>
      </c>
      <c r="C13" s="13">
        <v>56000</v>
      </c>
      <c r="D13" s="15">
        <f>SUM(B13:C13)</f>
        <v>236000</v>
      </c>
      <c r="E13" s="56">
        <v>0</v>
      </c>
      <c r="F13" s="30">
        <f>E13*D13</f>
        <v>0</v>
      </c>
      <c r="G13" s="56">
        <v>0</v>
      </c>
      <c r="H13" s="30">
        <f t="shared" si="4"/>
        <v>0</v>
      </c>
      <c r="I13" s="56">
        <v>0</v>
      </c>
      <c r="J13" s="30">
        <f t="shared" si="1"/>
        <v>0</v>
      </c>
      <c r="K13" s="56">
        <v>0</v>
      </c>
      <c r="L13" s="17">
        <f t="shared" si="2"/>
        <v>0</v>
      </c>
      <c r="M13" s="56">
        <v>0</v>
      </c>
      <c r="N13" s="17">
        <f t="shared" si="3"/>
        <v>0</v>
      </c>
    </row>
    <row r="14" spans="1:14">
      <c r="A14" s="18" t="s">
        <v>21</v>
      </c>
      <c r="B14" s="13">
        <v>180000</v>
      </c>
      <c r="C14" s="13">
        <v>56000</v>
      </c>
      <c r="D14" s="15">
        <f>SUM(B14:C14)</f>
        <v>236000</v>
      </c>
      <c r="E14" s="56">
        <v>0</v>
      </c>
      <c r="F14" s="30">
        <f>E14*D14</f>
        <v>0</v>
      </c>
      <c r="G14" s="56">
        <v>0</v>
      </c>
      <c r="H14" s="30">
        <f t="shared" si="4"/>
        <v>0</v>
      </c>
      <c r="I14" s="56">
        <v>0</v>
      </c>
      <c r="J14" s="30">
        <f t="shared" si="1"/>
        <v>0</v>
      </c>
      <c r="K14" s="56">
        <v>0</v>
      </c>
      <c r="L14" s="17">
        <f t="shared" si="2"/>
        <v>0</v>
      </c>
      <c r="M14" s="56">
        <v>0</v>
      </c>
      <c r="N14" s="17">
        <f t="shared" si="3"/>
        <v>0</v>
      </c>
    </row>
    <row r="15" spans="1:14">
      <c r="A15" s="18" t="s">
        <v>22</v>
      </c>
      <c r="B15" s="13">
        <v>180000</v>
      </c>
      <c r="C15" s="13">
        <v>56000</v>
      </c>
      <c r="D15" s="15">
        <f>SUM(B15:C15)</f>
        <v>236000</v>
      </c>
      <c r="E15" s="56">
        <v>0</v>
      </c>
      <c r="F15" s="30">
        <f>$E$15*D15</f>
        <v>0</v>
      </c>
      <c r="G15" s="56">
        <v>0</v>
      </c>
      <c r="H15" s="30">
        <f t="shared" si="4"/>
        <v>0</v>
      </c>
      <c r="I15" s="56">
        <v>0</v>
      </c>
      <c r="J15" s="30">
        <f t="shared" si="1"/>
        <v>0</v>
      </c>
      <c r="K15" s="56">
        <v>0</v>
      </c>
      <c r="L15" s="17">
        <f t="shared" si="2"/>
        <v>0</v>
      </c>
      <c r="M15" s="56">
        <v>0</v>
      </c>
      <c r="N15" s="17">
        <f t="shared" si="3"/>
        <v>0</v>
      </c>
    </row>
    <row r="16" spans="1:14">
      <c r="A16" s="18" t="s">
        <v>23</v>
      </c>
      <c r="B16" s="13">
        <v>100000</v>
      </c>
      <c r="C16" s="13">
        <v>56000</v>
      </c>
      <c r="D16" s="15">
        <f t="shared" si="0"/>
        <v>156000</v>
      </c>
      <c r="E16" s="57">
        <v>0</v>
      </c>
      <c r="F16" s="30">
        <f>$E$16*$D$16</f>
        <v>0</v>
      </c>
      <c r="G16" s="57">
        <v>0</v>
      </c>
      <c r="H16" s="30">
        <f t="shared" si="4"/>
        <v>0</v>
      </c>
      <c r="I16" s="57">
        <v>0</v>
      </c>
      <c r="J16" s="30">
        <f t="shared" si="1"/>
        <v>0</v>
      </c>
      <c r="K16" s="57">
        <v>0</v>
      </c>
      <c r="L16" s="17">
        <f t="shared" si="2"/>
        <v>0</v>
      </c>
      <c r="M16" s="57">
        <v>1</v>
      </c>
      <c r="N16" s="17">
        <f t="shared" si="3"/>
        <v>175579.37436000002</v>
      </c>
    </row>
    <row r="17" spans="1:14">
      <c r="A17" s="18" t="s">
        <v>24</v>
      </c>
      <c r="B17" s="13">
        <v>130000</v>
      </c>
      <c r="C17" s="13">
        <v>56000</v>
      </c>
      <c r="D17" s="15">
        <f t="shared" si="0"/>
        <v>186000</v>
      </c>
      <c r="E17" s="58">
        <v>2</v>
      </c>
      <c r="F17" s="93">
        <f>$E$17*$D$17*0.5</f>
        <v>186000</v>
      </c>
      <c r="G17" s="58">
        <v>2</v>
      </c>
      <c r="H17" s="30">
        <f t="shared" si="4"/>
        <v>383160</v>
      </c>
      <c r="I17" s="58">
        <v>2</v>
      </c>
      <c r="J17" s="30">
        <f t="shared" si="1"/>
        <v>394654.8</v>
      </c>
      <c r="K17" s="58">
        <v>2</v>
      </c>
      <c r="L17" s="17">
        <f>$K17*(D17*1.03*1.03*1.03)</f>
        <v>406494.44400000002</v>
      </c>
      <c r="M17" s="58">
        <v>3</v>
      </c>
      <c r="N17" s="17">
        <f t="shared" si="3"/>
        <v>628033.91598000005</v>
      </c>
    </row>
    <row r="18" spans="1:14">
      <c r="A18" s="18" t="s">
        <v>25</v>
      </c>
      <c r="B18" s="13">
        <v>170000</v>
      </c>
      <c r="C18" s="13">
        <v>56000</v>
      </c>
      <c r="D18" s="15">
        <f t="shared" si="0"/>
        <v>226000</v>
      </c>
      <c r="E18" s="58">
        <v>1</v>
      </c>
      <c r="F18" s="30">
        <f>$E$18*$D$18</f>
        <v>226000</v>
      </c>
      <c r="G18" s="58">
        <v>1</v>
      </c>
      <c r="H18" s="30">
        <f>$G18*(D18*1.03)</f>
        <v>232780</v>
      </c>
      <c r="I18" s="58">
        <v>1</v>
      </c>
      <c r="J18" s="30">
        <f>$I18*(D18*1.03*1.03)</f>
        <v>239763.4</v>
      </c>
      <c r="K18" s="58">
        <v>1</v>
      </c>
      <c r="L18" s="17">
        <f>$K18*(D18*1.03*1.03*1.03)</f>
        <v>246956.302</v>
      </c>
      <c r="M18" s="58">
        <v>1</v>
      </c>
      <c r="N18" s="17">
        <f t="shared" si="3"/>
        <v>254364.99106</v>
      </c>
    </row>
    <row r="19" spans="1:14">
      <c r="A19" s="18" t="s">
        <v>26</v>
      </c>
      <c r="B19" s="13">
        <v>130000</v>
      </c>
      <c r="C19" s="13">
        <v>56000</v>
      </c>
      <c r="D19" s="15">
        <f>SUM(B19:C19)</f>
        <v>186000</v>
      </c>
      <c r="E19" s="55">
        <v>0</v>
      </c>
      <c r="F19" s="30">
        <f>E19*$D$19</f>
        <v>0</v>
      </c>
      <c r="G19" s="55">
        <v>0</v>
      </c>
      <c r="H19" s="30">
        <f t="shared" si="4"/>
        <v>0</v>
      </c>
      <c r="I19" s="55">
        <v>0</v>
      </c>
      <c r="J19" s="30">
        <f t="shared" si="1"/>
        <v>0</v>
      </c>
      <c r="K19" s="55">
        <v>0</v>
      </c>
      <c r="L19" s="17">
        <f t="shared" si="2"/>
        <v>0</v>
      </c>
      <c r="M19" s="56">
        <v>0</v>
      </c>
      <c r="N19" s="17">
        <f t="shared" si="3"/>
        <v>0</v>
      </c>
    </row>
    <row r="20" spans="1:14">
      <c r="A20" s="18" t="s">
        <v>27</v>
      </c>
      <c r="B20" s="13">
        <v>130000</v>
      </c>
      <c r="C20" s="13">
        <v>56000</v>
      </c>
      <c r="D20" s="15">
        <f t="shared" ref="D20:D23" si="5">SUM(B20:C20)</f>
        <v>186000</v>
      </c>
      <c r="E20" s="55">
        <v>0</v>
      </c>
      <c r="F20" s="30">
        <f t="shared" ref="F20:F23" si="6">E20*$D$19</f>
        <v>0</v>
      </c>
      <c r="G20" s="55">
        <v>0</v>
      </c>
      <c r="H20" s="30">
        <f t="shared" si="4"/>
        <v>0</v>
      </c>
      <c r="I20" s="55">
        <v>0</v>
      </c>
      <c r="J20" s="30">
        <f t="shared" si="1"/>
        <v>0</v>
      </c>
      <c r="K20" s="55">
        <v>0</v>
      </c>
      <c r="L20" s="17">
        <f t="shared" si="2"/>
        <v>0</v>
      </c>
      <c r="M20" s="56">
        <v>0</v>
      </c>
      <c r="N20" s="17">
        <f t="shared" si="3"/>
        <v>0</v>
      </c>
    </row>
    <row r="21" spans="1:14">
      <c r="A21" s="18" t="s">
        <v>28</v>
      </c>
      <c r="B21" s="13">
        <v>130000</v>
      </c>
      <c r="C21" s="13">
        <v>56000</v>
      </c>
      <c r="D21" s="15">
        <f t="shared" si="5"/>
        <v>186000</v>
      </c>
      <c r="E21" s="56">
        <v>0</v>
      </c>
      <c r="F21" s="30">
        <f t="shared" si="6"/>
        <v>0</v>
      </c>
      <c r="G21" s="56">
        <v>0</v>
      </c>
      <c r="H21" s="30">
        <f t="shared" si="4"/>
        <v>0</v>
      </c>
      <c r="I21" s="56">
        <v>0</v>
      </c>
      <c r="J21" s="30">
        <f t="shared" si="1"/>
        <v>0</v>
      </c>
      <c r="K21" s="56">
        <v>0</v>
      </c>
      <c r="L21" s="17">
        <f t="shared" si="2"/>
        <v>0</v>
      </c>
      <c r="M21" s="56">
        <v>0</v>
      </c>
      <c r="N21" s="17">
        <f t="shared" si="3"/>
        <v>0</v>
      </c>
    </row>
    <row r="22" spans="1:14">
      <c r="A22" s="18" t="s">
        <v>29</v>
      </c>
      <c r="B22" s="13">
        <v>130000</v>
      </c>
      <c r="C22" s="13">
        <v>56000</v>
      </c>
      <c r="D22" s="15">
        <f t="shared" si="5"/>
        <v>186000</v>
      </c>
      <c r="E22" s="56">
        <v>0</v>
      </c>
      <c r="F22" s="30">
        <f t="shared" si="6"/>
        <v>0</v>
      </c>
      <c r="G22" s="56">
        <v>0</v>
      </c>
      <c r="H22" s="30">
        <f t="shared" si="4"/>
        <v>0</v>
      </c>
      <c r="I22" s="56">
        <v>0</v>
      </c>
      <c r="J22" s="30">
        <f t="shared" si="1"/>
        <v>0</v>
      </c>
      <c r="K22" s="56">
        <v>0</v>
      </c>
      <c r="L22" s="17">
        <f t="shared" si="2"/>
        <v>0</v>
      </c>
      <c r="M22" s="56">
        <v>0</v>
      </c>
      <c r="N22" s="17">
        <f t="shared" si="3"/>
        <v>0</v>
      </c>
    </row>
    <row r="23" spans="1:14">
      <c r="A23" s="18" t="s">
        <v>30</v>
      </c>
      <c r="B23" s="13">
        <v>130000</v>
      </c>
      <c r="C23" s="13">
        <v>56000</v>
      </c>
      <c r="D23" s="15">
        <f t="shared" si="5"/>
        <v>186000</v>
      </c>
      <c r="E23" s="57">
        <v>0</v>
      </c>
      <c r="F23" s="30">
        <f t="shared" si="6"/>
        <v>0</v>
      </c>
      <c r="G23" s="57">
        <v>0</v>
      </c>
      <c r="H23" s="30">
        <f t="shared" si="4"/>
        <v>0</v>
      </c>
      <c r="I23" s="57">
        <v>0</v>
      </c>
      <c r="J23" s="30">
        <f t="shared" si="1"/>
        <v>0</v>
      </c>
      <c r="K23" s="57">
        <v>0</v>
      </c>
      <c r="L23" s="17">
        <f t="shared" si="2"/>
        <v>0</v>
      </c>
      <c r="M23" s="73">
        <v>0</v>
      </c>
      <c r="N23" s="17">
        <f t="shared" si="3"/>
        <v>0</v>
      </c>
    </row>
    <row r="24" spans="1:14">
      <c r="A24" s="18" t="s">
        <v>31</v>
      </c>
      <c r="B24" s="13">
        <v>180000</v>
      </c>
      <c r="C24" s="13">
        <v>56000</v>
      </c>
      <c r="D24" s="15">
        <f t="shared" si="0"/>
        <v>236000</v>
      </c>
      <c r="E24" s="55"/>
      <c r="F24" s="30">
        <f>$E$24*$D$24</f>
        <v>0</v>
      </c>
      <c r="G24" s="55"/>
      <c r="H24" s="30">
        <f t="shared" si="4"/>
        <v>0</v>
      </c>
      <c r="I24" s="55"/>
      <c r="J24" s="30">
        <f t="shared" si="1"/>
        <v>0</v>
      </c>
      <c r="K24" s="55"/>
      <c r="L24" s="17">
        <f t="shared" si="2"/>
        <v>0</v>
      </c>
      <c r="M24" s="55">
        <v>1</v>
      </c>
      <c r="N24" s="17">
        <f t="shared" si="3"/>
        <v>265620.07916000002</v>
      </c>
    </row>
    <row r="25" spans="1:14">
      <c r="A25" s="18" t="s">
        <v>32</v>
      </c>
      <c r="B25" s="13">
        <v>140000</v>
      </c>
      <c r="C25" s="13">
        <v>56000</v>
      </c>
      <c r="D25" s="15">
        <f t="shared" si="0"/>
        <v>196000</v>
      </c>
      <c r="E25" s="55"/>
      <c r="F25" s="30">
        <f>$E$25*$D$25</f>
        <v>0</v>
      </c>
      <c r="G25" s="55"/>
      <c r="H25" s="30">
        <f t="shared" si="4"/>
        <v>0</v>
      </c>
      <c r="I25" s="55"/>
      <c r="J25" s="30">
        <f t="shared" si="1"/>
        <v>0</v>
      </c>
      <c r="K25" s="55"/>
      <c r="L25" s="17">
        <f t="shared" si="2"/>
        <v>0</v>
      </c>
      <c r="M25" s="55">
        <v>1</v>
      </c>
      <c r="N25" s="17">
        <f t="shared" si="3"/>
        <v>220599.72675999999</v>
      </c>
    </row>
    <row r="26" spans="1:14">
      <c r="A26" s="18" t="s">
        <v>33</v>
      </c>
      <c r="B26" s="13">
        <v>100000</v>
      </c>
      <c r="C26" s="13">
        <v>56000</v>
      </c>
      <c r="D26" s="15">
        <f t="shared" si="0"/>
        <v>156000</v>
      </c>
      <c r="E26" s="55">
        <v>0</v>
      </c>
      <c r="F26" s="93">
        <f>$E$26*$D$26*0.5</f>
        <v>0</v>
      </c>
      <c r="G26" s="55">
        <v>0</v>
      </c>
      <c r="H26" s="30">
        <f t="shared" si="4"/>
        <v>0</v>
      </c>
      <c r="I26" s="55">
        <v>0</v>
      </c>
      <c r="J26" s="30">
        <f t="shared" si="1"/>
        <v>0</v>
      </c>
      <c r="K26" s="55">
        <v>0</v>
      </c>
      <c r="L26" s="17">
        <f t="shared" si="2"/>
        <v>0</v>
      </c>
      <c r="M26" s="55">
        <v>1</v>
      </c>
      <c r="N26" s="17">
        <f t="shared" si="3"/>
        <v>175579.37436000002</v>
      </c>
    </row>
    <row r="27" spans="1:14" s="19" customFormat="1" ht="12.75">
      <c r="A27" s="18" t="s">
        <v>34</v>
      </c>
      <c r="B27" s="13">
        <v>100000</v>
      </c>
      <c r="C27" s="13">
        <v>56000</v>
      </c>
      <c r="D27" s="15">
        <f t="shared" si="0"/>
        <v>156000</v>
      </c>
      <c r="E27" s="55">
        <v>0</v>
      </c>
      <c r="F27" s="93">
        <f>$E$26*$D$26*0.5</f>
        <v>0</v>
      </c>
      <c r="G27" s="55">
        <v>0</v>
      </c>
      <c r="H27" s="30">
        <f t="shared" si="4"/>
        <v>0</v>
      </c>
      <c r="I27" s="55">
        <v>0</v>
      </c>
      <c r="J27" s="30">
        <f t="shared" si="1"/>
        <v>0</v>
      </c>
      <c r="K27" s="55">
        <v>0</v>
      </c>
      <c r="L27" s="17">
        <f t="shared" si="2"/>
        <v>0</v>
      </c>
      <c r="M27" s="55">
        <v>1</v>
      </c>
      <c r="N27" s="17">
        <f t="shared" si="3"/>
        <v>175579.37436000002</v>
      </c>
    </row>
    <row r="28" spans="1:14">
      <c r="A28" s="59" t="s">
        <v>35</v>
      </c>
      <c r="B28" s="20">
        <v>100000</v>
      </c>
      <c r="C28" s="13">
        <v>56000</v>
      </c>
      <c r="D28" s="15">
        <f t="shared" si="0"/>
        <v>156000</v>
      </c>
      <c r="E28" s="56">
        <v>0</v>
      </c>
      <c r="F28" s="30">
        <v>0</v>
      </c>
      <c r="G28" s="56">
        <v>0</v>
      </c>
      <c r="H28" s="30">
        <f t="shared" si="4"/>
        <v>0</v>
      </c>
      <c r="I28" s="60">
        <v>0</v>
      </c>
      <c r="J28" s="30">
        <f t="shared" si="1"/>
        <v>0</v>
      </c>
      <c r="K28" s="60">
        <v>0</v>
      </c>
      <c r="L28" s="17">
        <f t="shared" si="2"/>
        <v>0</v>
      </c>
      <c r="M28" s="60">
        <v>0</v>
      </c>
      <c r="N28" s="17">
        <f t="shared" si="3"/>
        <v>0</v>
      </c>
    </row>
    <row r="29" spans="1:14" ht="22.5">
      <c r="A29" s="61"/>
      <c r="B29" s="21" t="s">
        <v>36</v>
      </c>
      <c r="C29" s="22" t="s">
        <v>37</v>
      </c>
      <c r="D29" s="15"/>
      <c r="E29" s="62"/>
      <c r="F29" s="42">
        <f>SUM(F6:F28)</f>
        <v>1133000</v>
      </c>
      <c r="G29" s="42"/>
      <c r="H29" s="42">
        <f>SUM(H6:H28)</f>
        <v>1532640</v>
      </c>
      <c r="I29" s="42"/>
      <c r="J29" s="42">
        <f>SUM(J6:J28)</f>
        <v>1578619.2</v>
      </c>
      <c r="K29" s="42"/>
      <c r="L29" s="23">
        <f>SUM(L6:L28)</f>
        <v>1625977.7759999998</v>
      </c>
      <c r="M29" s="42"/>
      <c r="N29" s="23">
        <f>SUM(N6:N28)</f>
        <v>2897059.6769399997</v>
      </c>
    </row>
    <row r="30" spans="1:14">
      <c r="A30" s="63" t="s">
        <v>38</v>
      </c>
      <c r="B30" s="24"/>
      <c r="C30" s="24"/>
      <c r="D30" s="25"/>
      <c r="E30" s="26"/>
      <c r="F30" s="27"/>
      <c r="G30" s="27"/>
      <c r="H30" s="27"/>
      <c r="I30" s="27"/>
      <c r="J30" s="27"/>
      <c r="K30" s="88" t="s">
        <v>39</v>
      </c>
      <c r="L30" s="28">
        <f>SUM(F29:L29)</f>
        <v>5870236.9759999998</v>
      </c>
      <c r="M30" s="27"/>
      <c r="N30" s="28">
        <f>SUM(N29)</f>
        <v>2897059.6769399997</v>
      </c>
    </row>
    <row r="31" spans="1:14" ht="24">
      <c r="A31" s="64" t="s">
        <v>40</v>
      </c>
      <c r="B31" s="29" t="s">
        <v>41</v>
      </c>
      <c r="C31" s="29" t="s">
        <v>41</v>
      </c>
      <c r="D31" s="15">
        <v>150000</v>
      </c>
      <c r="E31" s="55">
        <v>2</v>
      </c>
      <c r="F31" s="30">
        <f>$D$31*E$31</f>
        <v>300000</v>
      </c>
      <c r="G31" s="55">
        <v>2</v>
      </c>
      <c r="H31" s="30">
        <f>$G31*(D31*1.03)</f>
        <v>309000</v>
      </c>
      <c r="I31" s="55">
        <v>2</v>
      </c>
      <c r="J31" s="30">
        <f>$I31*(D31*1.03*1.03)</f>
        <v>318270</v>
      </c>
      <c r="K31" s="55">
        <v>2</v>
      </c>
      <c r="L31" s="17">
        <f>$K31*(D31*1.03*1.03*1.03)</f>
        <v>327818.10000000003</v>
      </c>
      <c r="M31" s="55">
        <v>2</v>
      </c>
      <c r="N31" s="17">
        <f>$M31*(D31*1.03*1.03*1.03*1.03)</f>
        <v>337652.64300000004</v>
      </c>
    </row>
    <row r="32" spans="1:14" ht="24">
      <c r="A32" s="64" t="s">
        <v>42</v>
      </c>
      <c r="B32" s="29" t="s">
        <v>41</v>
      </c>
      <c r="C32" s="29" t="s">
        <v>41</v>
      </c>
      <c r="D32" s="15">
        <v>100000</v>
      </c>
      <c r="E32" s="55">
        <v>1</v>
      </c>
      <c r="F32" s="30">
        <f>D32*E32</f>
        <v>100000</v>
      </c>
      <c r="G32" s="55">
        <v>1</v>
      </c>
      <c r="H32" s="30">
        <f>$G32*(F32*1.03)</f>
        <v>103000</v>
      </c>
      <c r="I32" s="55">
        <v>1</v>
      </c>
      <c r="J32" s="30">
        <f t="shared" ref="J32:J37" si="7">$I32*(D32*1.03*1.03)</f>
        <v>106090</v>
      </c>
      <c r="K32" s="55">
        <v>1</v>
      </c>
      <c r="L32" s="17">
        <f t="shared" ref="L32:L37" si="8">$K32*(D32*1.03*1.03*1.03)</f>
        <v>109272.7</v>
      </c>
      <c r="M32" s="55">
        <v>1</v>
      </c>
      <c r="N32" s="17">
        <f>$M32*(D32*1.03*1.03*1.03*1.03)</f>
        <v>112550.88099999999</v>
      </c>
    </row>
    <row r="33" spans="1:14">
      <c r="A33" s="64" t="s">
        <v>43</v>
      </c>
      <c r="B33" s="29" t="s">
        <v>41</v>
      </c>
      <c r="C33" s="29" t="s">
        <v>41</v>
      </c>
      <c r="D33" s="15">
        <v>100000</v>
      </c>
      <c r="E33" s="55">
        <v>1</v>
      </c>
      <c r="F33" s="30">
        <f t="shared" ref="F33:F36" si="9">D33*E33</f>
        <v>100000</v>
      </c>
      <c r="G33" s="55">
        <v>1</v>
      </c>
      <c r="H33" s="30">
        <f>$G33*(F33*1.03)</f>
        <v>103000</v>
      </c>
      <c r="I33" s="55">
        <v>1</v>
      </c>
      <c r="J33" s="30">
        <f t="shared" si="7"/>
        <v>106090</v>
      </c>
      <c r="K33" s="55">
        <v>1</v>
      </c>
      <c r="L33" s="17">
        <f t="shared" si="8"/>
        <v>109272.7</v>
      </c>
      <c r="M33" s="55">
        <v>1</v>
      </c>
      <c r="N33" s="17">
        <f t="shared" ref="N33:N37" si="10">$M33*(D33*1.03*1.03*1.03*1.03)</f>
        <v>112550.88099999999</v>
      </c>
    </row>
    <row r="34" spans="1:14">
      <c r="A34" s="64" t="s">
        <v>44</v>
      </c>
      <c r="B34" s="29" t="s">
        <v>41</v>
      </c>
      <c r="C34" s="29" t="s">
        <v>41</v>
      </c>
      <c r="D34" s="15">
        <v>150000</v>
      </c>
      <c r="E34" s="58">
        <v>0</v>
      </c>
      <c r="F34" s="30">
        <f t="shared" si="9"/>
        <v>0</v>
      </c>
      <c r="G34" s="58">
        <v>1</v>
      </c>
      <c r="H34" s="30">
        <f t="shared" ref="H34:H36" si="11">$G34*(D34*1.03)</f>
        <v>154500</v>
      </c>
      <c r="I34" s="58">
        <v>1</v>
      </c>
      <c r="J34" s="30">
        <f t="shared" si="7"/>
        <v>159135</v>
      </c>
      <c r="K34" s="58">
        <v>1</v>
      </c>
      <c r="L34" s="17">
        <f t="shared" si="8"/>
        <v>163909.05000000002</v>
      </c>
      <c r="M34" s="58">
        <v>0.5</v>
      </c>
      <c r="N34" s="17">
        <f t="shared" si="10"/>
        <v>84413.16075000001</v>
      </c>
    </row>
    <row r="35" spans="1:14">
      <c r="A35" s="64" t="s">
        <v>45</v>
      </c>
      <c r="B35" s="29" t="s">
        <v>41</v>
      </c>
      <c r="C35" s="29" t="s">
        <v>41</v>
      </c>
      <c r="D35" s="15">
        <v>50000</v>
      </c>
      <c r="E35" s="55">
        <v>1</v>
      </c>
      <c r="F35" s="30">
        <f t="shared" si="9"/>
        <v>50000</v>
      </c>
      <c r="G35" s="55">
        <v>1</v>
      </c>
      <c r="H35" s="30">
        <f t="shared" si="11"/>
        <v>51500</v>
      </c>
      <c r="I35" s="55">
        <v>1</v>
      </c>
      <c r="J35" s="30">
        <f t="shared" si="7"/>
        <v>53045</v>
      </c>
      <c r="K35" s="55">
        <v>1</v>
      </c>
      <c r="L35" s="17">
        <f t="shared" si="8"/>
        <v>54636.35</v>
      </c>
      <c r="M35" s="55">
        <v>1</v>
      </c>
      <c r="N35" s="17">
        <f t="shared" si="10"/>
        <v>56275.440499999997</v>
      </c>
    </row>
    <row r="36" spans="1:14">
      <c r="A36" s="64" t="s">
        <v>46</v>
      </c>
      <c r="B36" s="29" t="s">
        <v>41</v>
      </c>
      <c r="C36" s="29" t="s">
        <v>41</v>
      </c>
      <c r="D36" s="15">
        <v>500000</v>
      </c>
      <c r="E36" s="56">
        <v>0</v>
      </c>
      <c r="F36" s="30">
        <f t="shared" si="9"/>
        <v>0</v>
      </c>
      <c r="G36" s="55">
        <v>1</v>
      </c>
      <c r="H36" s="30">
        <f t="shared" si="11"/>
        <v>515000</v>
      </c>
      <c r="I36" s="55">
        <v>2</v>
      </c>
      <c r="J36" s="30">
        <f t="shared" si="7"/>
        <v>1060900</v>
      </c>
      <c r="K36" s="55">
        <v>2</v>
      </c>
      <c r="L36" s="17">
        <f t="shared" si="8"/>
        <v>1092727</v>
      </c>
      <c r="M36" s="55">
        <v>2</v>
      </c>
      <c r="N36" s="17">
        <f t="shared" si="10"/>
        <v>1125508.81</v>
      </c>
    </row>
    <row r="37" spans="1:14">
      <c r="A37" s="64" t="s">
        <v>47</v>
      </c>
      <c r="B37" s="29"/>
      <c r="C37" s="29"/>
      <c r="D37" s="15">
        <v>500000</v>
      </c>
      <c r="E37" s="65">
        <v>0</v>
      </c>
      <c r="F37" s="30">
        <f>$E$37*$D$37</f>
        <v>0</v>
      </c>
      <c r="G37" s="49">
        <v>1</v>
      </c>
      <c r="H37" s="30">
        <f>$G$37*$D$37</f>
        <v>500000</v>
      </c>
      <c r="I37" s="49">
        <v>2</v>
      </c>
      <c r="J37" s="30">
        <f t="shared" si="7"/>
        <v>1060900</v>
      </c>
      <c r="K37" s="49">
        <v>2</v>
      </c>
      <c r="L37" s="17">
        <f t="shared" si="8"/>
        <v>1092727</v>
      </c>
      <c r="M37" s="49">
        <v>1</v>
      </c>
      <c r="N37" s="17">
        <f t="shared" si="10"/>
        <v>562754.40500000003</v>
      </c>
    </row>
    <row r="38" spans="1:14">
      <c r="A38" s="66"/>
      <c r="B38" s="31"/>
      <c r="C38" s="31"/>
      <c r="D38" s="15"/>
      <c r="E38" s="62"/>
      <c r="F38" s="42">
        <f>SUM(F31:F37)</f>
        <v>550000</v>
      </c>
      <c r="G38" s="42"/>
      <c r="H38" s="42">
        <f t="shared" ref="H38:L38" si="12">SUM(H31:H37)</f>
        <v>1736000</v>
      </c>
      <c r="I38" s="42"/>
      <c r="J38" s="42">
        <f>SUM(J31:J37)</f>
        <v>2864430</v>
      </c>
      <c r="K38" s="42"/>
      <c r="L38" s="23">
        <f t="shared" si="12"/>
        <v>2950362.9</v>
      </c>
      <c r="M38" s="42"/>
      <c r="N38" s="23">
        <f t="shared" ref="N38" si="13">SUM(N31:N37)</f>
        <v>2391706.2212500004</v>
      </c>
    </row>
    <row r="39" spans="1:14">
      <c r="A39" s="63" t="s">
        <v>48</v>
      </c>
      <c r="B39" s="24"/>
      <c r="C39" s="24"/>
      <c r="D39" s="32"/>
      <c r="E39" s="33"/>
      <c r="F39" s="34"/>
      <c r="G39" s="34"/>
      <c r="H39" s="34"/>
      <c r="I39" s="34"/>
      <c r="J39" s="34"/>
      <c r="K39" s="86" t="s">
        <v>49</v>
      </c>
      <c r="L39" s="28">
        <f>SUM(F38:L38)</f>
        <v>8100792.9000000004</v>
      </c>
      <c r="M39" s="34"/>
      <c r="N39" s="28">
        <f>SUM(N38)</f>
        <v>2391706.2212500004</v>
      </c>
    </row>
    <row r="40" spans="1:14">
      <c r="A40" s="64" t="s">
        <v>50</v>
      </c>
      <c r="B40" s="29" t="s">
        <v>41</v>
      </c>
      <c r="C40" s="29" t="s">
        <v>41</v>
      </c>
      <c r="D40" s="15">
        <v>2500000</v>
      </c>
      <c r="E40" s="56">
        <v>0</v>
      </c>
      <c r="F40" s="30">
        <v>0</v>
      </c>
      <c r="G40" s="30"/>
      <c r="H40" s="30">
        <v>0</v>
      </c>
      <c r="I40" s="30"/>
      <c r="J40" s="30">
        <f>D40*E40</f>
        <v>0</v>
      </c>
      <c r="K40" s="30"/>
      <c r="L40" s="17">
        <f>D40*(E40*0.2)</f>
        <v>0</v>
      </c>
      <c r="M40" s="30"/>
      <c r="N40" s="17">
        <f>F40*(G40*0.2)</f>
        <v>0</v>
      </c>
    </row>
    <row r="41" spans="1:14">
      <c r="A41" s="64" t="s">
        <v>51</v>
      </c>
      <c r="B41" s="29" t="s">
        <v>41</v>
      </c>
      <c r="C41" s="29" t="s">
        <v>41</v>
      </c>
      <c r="D41" s="15">
        <v>2500000</v>
      </c>
      <c r="E41" s="56">
        <v>0</v>
      </c>
      <c r="F41" s="30">
        <v>0</v>
      </c>
      <c r="G41" s="30"/>
      <c r="H41" s="30">
        <v>0</v>
      </c>
      <c r="I41" s="30"/>
      <c r="J41" s="30">
        <f>D41*E41</f>
        <v>0</v>
      </c>
      <c r="K41" s="30"/>
      <c r="L41" s="17">
        <f>D41*(E41*0.2)</f>
        <v>0</v>
      </c>
      <c r="M41" s="30"/>
      <c r="N41" s="17">
        <f>F41*(G41*0.2)</f>
        <v>0</v>
      </c>
    </row>
    <row r="42" spans="1:14">
      <c r="A42" s="64" t="s">
        <v>52</v>
      </c>
      <c r="B42" s="29"/>
      <c r="C42" s="29"/>
      <c r="D42" s="15">
        <v>1000000</v>
      </c>
      <c r="E42" s="56">
        <v>0</v>
      </c>
      <c r="F42" s="30"/>
      <c r="G42" s="30"/>
      <c r="H42" s="30"/>
      <c r="I42" s="30"/>
      <c r="J42" s="30">
        <f>E42*$D$42</f>
        <v>0</v>
      </c>
      <c r="K42" s="30"/>
      <c r="L42" s="17"/>
      <c r="M42" s="30"/>
      <c r="N42" s="17"/>
    </row>
    <row r="43" spans="1:14">
      <c r="A43" s="64" t="s">
        <v>53</v>
      </c>
      <c r="B43" s="29"/>
      <c r="C43" s="29"/>
      <c r="D43" s="15">
        <v>360000</v>
      </c>
      <c r="E43" s="56">
        <v>0</v>
      </c>
      <c r="F43" s="30"/>
      <c r="G43" s="30"/>
      <c r="H43" s="30"/>
      <c r="I43" s="30"/>
      <c r="J43" s="30">
        <f>E43*$D$43</f>
        <v>0</v>
      </c>
      <c r="K43" s="30"/>
      <c r="L43" s="17"/>
      <c r="M43" s="30"/>
      <c r="N43" s="17"/>
    </row>
    <row r="44" spans="1:14">
      <c r="A44" s="66"/>
      <c r="B44" s="31"/>
      <c r="C44" s="31"/>
      <c r="D44" s="35"/>
      <c r="E44" s="56"/>
      <c r="F44" s="42">
        <f>SUM(F40:F43)</f>
        <v>0</v>
      </c>
      <c r="G44" s="42"/>
      <c r="H44" s="42">
        <f>SUM(H40:H43)</f>
        <v>0</v>
      </c>
      <c r="I44" s="42"/>
      <c r="J44" s="42">
        <f>SUM(J40:J43)</f>
        <v>0</v>
      </c>
      <c r="K44" s="42"/>
      <c r="L44" s="23">
        <f>SUM(L40:L43)</f>
        <v>0</v>
      </c>
      <c r="M44" s="42"/>
      <c r="N44" s="23">
        <f>SUM(N40:N43)</f>
        <v>0</v>
      </c>
    </row>
    <row r="45" spans="1:14">
      <c r="A45" s="63" t="s">
        <v>54</v>
      </c>
      <c r="B45" s="24"/>
      <c r="C45" s="24"/>
      <c r="D45" s="32"/>
      <c r="E45" s="36"/>
      <c r="F45" s="34"/>
      <c r="G45" s="34"/>
      <c r="H45" s="34"/>
      <c r="I45" s="34"/>
      <c r="J45" s="34"/>
      <c r="K45" s="86" t="s">
        <v>55</v>
      </c>
      <c r="L45" s="28">
        <f>SUM(F44:L44)</f>
        <v>0</v>
      </c>
      <c r="M45" s="34"/>
      <c r="N45" s="28">
        <f>SUM(H44:N44)</f>
        <v>0</v>
      </c>
    </row>
    <row r="46" spans="1:14">
      <c r="A46" s="64" t="s">
        <v>56</v>
      </c>
      <c r="B46" s="29" t="s">
        <v>41</v>
      </c>
      <c r="C46" s="29" t="s">
        <v>41</v>
      </c>
      <c r="D46" s="15">
        <v>260000</v>
      </c>
      <c r="E46" s="55">
        <v>4</v>
      </c>
      <c r="F46" s="95">
        <f>$D$46*$E$46</f>
        <v>1040000</v>
      </c>
      <c r="G46" s="50">
        <v>8</v>
      </c>
      <c r="H46" s="30">
        <f>$G46*(D46*1.03)</f>
        <v>2142400</v>
      </c>
      <c r="I46" s="60">
        <v>8</v>
      </c>
      <c r="J46" s="30">
        <f>$I$46*(D46*1.03*1.03)</f>
        <v>2206672</v>
      </c>
      <c r="K46" s="50">
        <v>7</v>
      </c>
      <c r="L46" s="17">
        <f>$D$46*(K46*1.03*1.03*1.03)</f>
        <v>1988763.1400000001</v>
      </c>
      <c r="M46" s="50">
        <v>3</v>
      </c>
      <c r="N46" s="17">
        <f>$D$46*(M46*1.03*1.03*1.03)</f>
        <v>852327.06</v>
      </c>
    </row>
    <row r="47" spans="1:14">
      <c r="A47" s="66"/>
      <c r="B47" s="31"/>
      <c r="C47" s="31"/>
      <c r="D47" s="35"/>
      <c r="E47" s="37"/>
      <c r="F47" s="42">
        <f>SUM(F46:F46)</f>
        <v>1040000</v>
      </c>
      <c r="G47" s="42"/>
      <c r="H47" s="42">
        <f>SUM(H46:H46)</f>
        <v>2142400</v>
      </c>
      <c r="I47" s="42"/>
      <c r="J47" s="42">
        <f>SUM(J46:J46)</f>
        <v>2206672</v>
      </c>
      <c r="K47" s="42"/>
      <c r="L47" s="23">
        <f>SUM(L46:L46)</f>
        <v>1988763.1400000001</v>
      </c>
      <c r="M47" s="42"/>
      <c r="N47" s="23">
        <f>SUM(N46:N46)</f>
        <v>852327.06</v>
      </c>
    </row>
    <row r="48" spans="1:14" ht="30">
      <c r="A48" s="66"/>
      <c r="B48" s="31"/>
      <c r="C48" s="31"/>
      <c r="D48" s="35"/>
      <c r="E48" s="37"/>
      <c r="F48" s="42"/>
      <c r="G48" s="42"/>
      <c r="H48" s="42"/>
      <c r="I48" s="42"/>
      <c r="J48" s="42"/>
      <c r="K48" s="89" t="s">
        <v>57</v>
      </c>
      <c r="L48" s="38">
        <f>SUM(F47:L47)</f>
        <v>7377835.1400000006</v>
      </c>
      <c r="M48" s="42"/>
      <c r="N48" s="38">
        <f>SUM(N47)</f>
        <v>852327.06</v>
      </c>
    </row>
    <row r="49" spans="1:14">
      <c r="A49" s="63" t="s">
        <v>58</v>
      </c>
      <c r="B49" s="24"/>
      <c r="C49" s="24"/>
      <c r="D49" s="32"/>
      <c r="E49" s="36"/>
      <c r="F49" s="34"/>
      <c r="G49" s="34"/>
      <c r="H49" s="34"/>
      <c r="I49" s="34"/>
      <c r="J49" s="34"/>
      <c r="K49" s="72"/>
      <c r="L49" s="32"/>
      <c r="M49" s="34"/>
      <c r="N49" s="32"/>
    </row>
    <row r="50" spans="1:14">
      <c r="A50" s="67" t="s">
        <v>59</v>
      </c>
      <c r="B50" s="29" t="s">
        <v>41</v>
      </c>
      <c r="C50" s="29" t="s">
        <v>41</v>
      </c>
      <c r="D50" s="39">
        <v>0.2</v>
      </c>
      <c r="E50" s="56">
        <v>0</v>
      </c>
      <c r="F50" s="30">
        <f>F38*$D$50*E50</f>
        <v>0</v>
      </c>
      <c r="G50" s="50">
        <v>1</v>
      </c>
      <c r="H50" s="30">
        <f>H38*$D$50</f>
        <v>347200</v>
      </c>
      <c r="I50" s="50">
        <v>1</v>
      </c>
      <c r="J50" s="30">
        <f>J38*$D$50</f>
        <v>572886</v>
      </c>
      <c r="K50" s="50">
        <v>1</v>
      </c>
      <c r="L50" s="17">
        <f>L38*$D$50</f>
        <v>590072.57999999996</v>
      </c>
      <c r="M50" s="30"/>
      <c r="N50" s="17">
        <v>0</v>
      </c>
    </row>
    <row r="51" spans="1:14">
      <c r="A51" s="67" t="s">
        <v>60</v>
      </c>
      <c r="B51" s="29" t="s">
        <v>41</v>
      </c>
      <c r="C51" s="29" t="s">
        <v>41</v>
      </c>
      <c r="D51" s="39">
        <v>0.15</v>
      </c>
      <c r="E51" s="56"/>
      <c r="F51" s="30">
        <f>F44*$D$51</f>
        <v>0</v>
      </c>
      <c r="G51" s="50"/>
      <c r="H51" s="30">
        <f>H44*$D$51</f>
        <v>0</v>
      </c>
      <c r="I51" s="50"/>
      <c r="J51" s="30">
        <f>J44*$D$51</f>
        <v>0</v>
      </c>
      <c r="K51" s="50"/>
      <c r="L51" s="17">
        <f>L44*$D$51</f>
        <v>0</v>
      </c>
      <c r="M51" s="30"/>
      <c r="N51" s="17">
        <f>N44*$D$51</f>
        <v>0</v>
      </c>
    </row>
    <row r="52" spans="1:14">
      <c r="A52" s="67" t="s">
        <v>68</v>
      </c>
      <c r="B52" s="29" t="s">
        <v>41</v>
      </c>
      <c r="C52" s="29" t="s">
        <v>41</v>
      </c>
      <c r="D52" s="39">
        <v>0.25</v>
      </c>
      <c r="E52" s="65">
        <v>1</v>
      </c>
      <c r="F52" s="30">
        <f>F47*$D$52*E52</f>
        <v>260000</v>
      </c>
      <c r="G52" s="50"/>
      <c r="H52" s="30">
        <f>H47*$D$52</f>
        <v>535600</v>
      </c>
      <c r="I52" s="50"/>
      <c r="J52" s="30">
        <f>J47*$D$52</f>
        <v>551668</v>
      </c>
      <c r="K52" s="50"/>
      <c r="L52" s="17">
        <f>L47*$D$52</f>
        <v>497190.78500000003</v>
      </c>
      <c r="M52" s="30"/>
      <c r="N52" s="17">
        <v>0</v>
      </c>
    </row>
    <row r="53" spans="1:14">
      <c r="A53" s="67"/>
      <c r="B53" s="40"/>
      <c r="C53" s="40"/>
      <c r="D53" s="41"/>
      <c r="E53" s="55"/>
      <c r="F53" s="42">
        <f>SUM(F50:F52)</f>
        <v>260000</v>
      </c>
      <c r="G53" s="50">
        <v>1</v>
      </c>
      <c r="H53" s="42">
        <f>SUM(H50:H52)</f>
        <v>882800</v>
      </c>
      <c r="I53" s="50">
        <v>1</v>
      </c>
      <c r="J53" s="42">
        <f>SUM(J50:J52)</f>
        <v>1124554</v>
      </c>
      <c r="K53" s="50">
        <v>1</v>
      </c>
      <c r="L53" s="23">
        <f>SUM(L50:L52)</f>
        <v>1087263.365</v>
      </c>
      <c r="M53" s="42"/>
      <c r="N53" s="23">
        <f>SUM(N50:N52)</f>
        <v>0</v>
      </c>
    </row>
    <row r="54" spans="1:14">
      <c r="A54" s="64"/>
      <c r="B54" s="43"/>
      <c r="C54" s="43"/>
      <c r="D54" s="35"/>
      <c r="E54" s="55"/>
      <c r="F54" s="68"/>
      <c r="G54" s="68"/>
      <c r="H54" s="68"/>
      <c r="I54" s="69"/>
      <c r="J54" s="68"/>
      <c r="K54" s="87" t="s">
        <v>62</v>
      </c>
      <c r="L54" s="28">
        <f>SUM(F53:L53)</f>
        <v>3354620.3650000002</v>
      </c>
      <c r="M54" s="74"/>
      <c r="N54" s="28"/>
    </row>
    <row r="55" spans="1:14">
      <c r="A55" s="100" t="s">
        <v>63</v>
      </c>
      <c r="B55" s="44"/>
      <c r="C55" s="44"/>
      <c r="D55" s="45"/>
      <c r="E55" s="78"/>
      <c r="F55" s="46">
        <f>SUM(F29,F38,F47,F53,F44)</f>
        <v>2983000</v>
      </c>
      <c r="G55" s="46"/>
      <c r="H55" s="46">
        <f>SUM(H29,H38,H47,H53,H44)</f>
        <v>6293840</v>
      </c>
      <c r="I55" s="46"/>
      <c r="J55" s="46">
        <f>SUM(J29,J38,J47,J53,J44)</f>
        <v>7774275.2000000002</v>
      </c>
      <c r="K55" s="46"/>
      <c r="L55" s="70">
        <f>SUM(L29,L38,L47,L53,L44)</f>
        <v>7652367.1809999999</v>
      </c>
      <c r="M55" s="76"/>
      <c r="N55" s="70">
        <f>SUM(N29,N38,N47,N53,N44)</f>
        <v>6141092.9581899997</v>
      </c>
    </row>
    <row r="56" spans="1:14">
      <c r="A56" s="101"/>
      <c r="B56" s="47"/>
      <c r="C56" s="47"/>
      <c r="D56" s="37"/>
      <c r="E56" s="79"/>
      <c r="F56" s="105">
        <f>SUM(F55:L55)</f>
        <v>24703482.380999997</v>
      </c>
      <c r="G56" s="105"/>
      <c r="H56" s="105"/>
      <c r="I56" s="105"/>
      <c r="J56" s="105"/>
      <c r="K56" s="105"/>
      <c r="L56" s="106"/>
      <c r="N56" s="77"/>
    </row>
    <row r="57" spans="1:14">
      <c r="A57" s="98" t="s">
        <v>64</v>
      </c>
      <c r="B57" s="75"/>
      <c r="C57" s="75"/>
      <c r="D57" s="76"/>
      <c r="E57" s="80"/>
      <c r="F57" s="46">
        <v>6175000</v>
      </c>
      <c r="G57" s="46"/>
      <c r="H57" s="46">
        <v>6175000</v>
      </c>
      <c r="I57" s="46"/>
      <c r="J57" s="46">
        <v>6175000</v>
      </c>
      <c r="K57" s="46"/>
      <c r="L57" s="70">
        <v>6175000</v>
      </c>
      <c r="M57" s="80"/>
      <c r="N57" s="83">
        <v>6175000</v>
      </c>
    </row>
    <row r="58" spans="1:14">
      <c r="A58" s="99"/>
      <c r="B58" s="71"/>
      <c r="C58" s="71"/>
      <c r="D58" s="72"/>
      <c r="E58" s="81"/>
      <c r="F58" s="96">
        <f>SUM(F57:L57)</f>
        <v>24700000</v>
      </c>
      <c r="G58" s="96"/>
      <c r="H58" s="96"/>
      <c r="I58" s="96"/>
      <c r="J58" s="96"/>
      <c r="K58" s="96"/>
      <c r="L58" s="97"/>
      <c r="M58" s="81"/>
      <c r="N58" s="82"/>
    </row>
    <row r="59" spans="1:14">
      <c r="A59" s="100" t="s">
        <v>65</v>
      </c>
      <c r="E59" s="48"/>
      <c r="F59" s="84">
        <f>F57-F55</f>
        <v>3192000</v>
      </c>
      <c r="G59" s="84"/>
      <c r="H59" s="84">
        <f t="shared" ref="H59:L59" si="14">H57-H55</f>
        <v>-118840</v>
      </c>
      <c r="I59" s="84"/>
      <c r="J59" s="84">
        <f t="shared" si="14"/>
        <v>-1599275.2000000002</v>
      </c>
      <c r="K59" s="84"/>
      <c r="L59" s="85">
        <f t="shared" si="14"/>
        <v>-1477367.1809999999</v>
      </c>
      <c r="N59" s="77"/>
    </row>
    <row r="60" spans="1:14">
      <c r="A60" s="101"/>
      <c r="B60" s="71"/>
      <c r="C60" s="71"/>
      <c r="D60" s="72"/>
      <c r="E60" s="81"/>
      <c r="F60" s="72"/>
      <c r="G60" s="72"/>
      <c r="H60" s="72"/>
      <c r="I60" s="72"/>
      <c r="J60" s="72"/>
      <c r="K60" s="72"/>
      <c r="L60" s="90">
        <f>F58-F56</f>
        <v>-3482.3809999972582</v>
      </c>
      <c r="M60" s="72"/>
      <c r="N60" s="90">
        <f>N57-N55</f>
        <v>33907.041810000315</v>
      </c>
    </row>
    <row r="61" spans="1:14" ht="75">
      <c r="A61" s="2" t="s">
        <v>66</v>
      </c>
    </row>
    <row r="63" spans="1:14">
      <c r="D63" s="1" t="s">
        <v>67</v>
      </c>
      <c r="E63" s="1">
        <f>SUM(E6:E27,E46)</f>
        <v>12</v>
      </c>
      <c r="G63" s="1">
        <f t="shared" ref="G63:K63" si="15">SUM(G6:G27,G46)</f>
        <v>15</v>
      </c>
      <c r="I63" s="1">
        <f t="shared" si="15"/>
        <v>15</v>
      </c>
      <c r="K63" s="1">
        <f t="shared" si="15"/>
        <v>14</v>
      </c>
    </row>
    <row r="66" spans="5:11">
      <c r="E66" s="1">
        <f>E63-E46</f>
        <v>8</v>
      </c>
      <c r="G66" s="1">
        <f>G63-G46</f>
        <v>7</v>
      </c>
      <c r="I66" s="1">
        <f>I63-I46</f>
        <v>7</v>
      </c>
      <c r="K66" s="1">
        <f>K63-K46</f>
        <v>7</v>
      </c>
    </row>
    <row r="67" spans="5:11">
      <c r="E67" s="1">
        <f>E63-E66</f>
        <v>4</v>
      </c>
    </row>
  </sheetData>
  <mergeCells count="8">
    <mergeCell ref="A59:A60"/>
    <mergeCell ref="A1:D2"/>
    <mergeCell ref="E1:G2"/>
    <mergeCell ref="D3:L3"/>
    <mergeCell ref="A55:A56"/>
    <mergeCell ref="F56:L56"/>
    <mergeCell ref="A57:A58"/>
    <mergeCell ref="F58:L58"/>
  </mergeCells>
  <pageMargins left="0.7" right="0.7" top="0.75" bottom="0.75" header="0.3" footer="0.3"/>
  <pageSetup paperSize="9" orientation="portrait" r:id="rId1"/>
  <headerFooter>
    <oddHeader>&amp;C&amp;"Calibri"&amp;9&amp;K000000 [IN-CONFIDENCE]&amp;1#_x000D_</oddHeader>
    <oddFooter>&amp;C_x000D_&amp;1#&amp;"Calibri"&amp;9&amp;K000000 [IN-CONFIDENCE]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a6f171-52cb-4404-b47d-af1c8daf8fd1" xsi:nil="true"/>
    <_dlc_DocId xmlns="58a6f171-52cb-4404-b47d-af1c8daf8fd1">ECM-1957364731-160235</_dlc_DocId>
    <_dlc_DocIdUrl xmlns="58a6f171-52cb-4404-b47d-af1c8daf8fd1">
      <Url>https://ministryforenvironment.sharepoint.com/sites/ECM-MS-TM/_layouts/15/DocIdRedir.aspx?ID=ECM-1957364731-160235</Url>
      <Description>ECM-1957364731-160235</Description>
    </_dlc_DocIdUrl>
    <lcf76f155ced4ddcb4097134ff3c332f xmlns="8670e516-b8ce-4d0b-944a-cee4985e1002" xsi:nil="true"/>
    <Inscope xmlns="8670e516-b8ce-4d0b-944a-cee4985e1002" xsi:nil="true"/>
    <InScope_x003f_ xmlns="8670e516-b8ce-4d0b-944a-cee4985e1002" xsi:nil="true"/>
    <Releaseinfull_x003f_ xmlns="8670e516-b8ce-4d0b-944a-cee4985e1002" xsi:nil="true"/>
    <Withholdgrounds xmlns="8670e516-b8ce-4d0b-944a-cee4985e1002" xsi:nil="true"/>
    <_Flow_SignoffStatus xmlns="8670e516-b8ce-4d0b-944a-cee4985e100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8D75BBA27B104794ED37320E9E673E" ma:contentTypeVersion="9" ma:contentTypeDescription="Create a new document." ma:contentTypeScope="" ma:versionID="803e4231844fc6d7d78e34d9693a2d6f">
  <xsd:schema xmlns:xsd="http://www.w3.org/2001/XMLSchema" xmlns:xs="http://www.w3.org/2001/XMLSchema" xmlns:p="http://schemas.microsoft.com/office/2006/metadata/properties" xmlns:ns2="58a6f171-52cb-4404-b47d-af1c8daf8fd1" xmlns:ns3="8670e516-b8ce-4d0b-944a-cee4985e1002" targetNamespace="http://schemas.microsoft.com/office/2006/metadata/properties" ma:root="true" ma:fieldsID="280208255bef0cdab11d57957b7eadd6" ns2:_="" ns3:_="">
    <xsd:import namespace="58a6f171-52cb-4404-b47d-af1c8daf8fd1"/>
    <xsd:import namespace="8670e516-b8ce-4d0b-944a-cee4985e1002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_dlc_DocId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InScope_x003f_" minOccurs="0"/>
                <xsd:element ref="ns3:Releaseinfull_x003f_" minOccurs="0"/>
                <xsd:element ref="ns3:Withholdgrounds" minOccurs="0"/>
                <xsd:element ref="ns3:Inscope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6f171-52cb-4404-b47d-af1c8daf8fd1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8" nillable="true" ma:displayName="Document ID Value" ma:description="The value of the document ID assigned to this item." ma:hidden="true" ma:internalName="_dlc_DocId" ma:readOnly="true">
      <xsd:simpleType>
        <xsd:restriction base="dms:Text"/>
      </xsd:simple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2" nillable="true" ma:displayName="Taxonomy Catch All Column" ma:hidden="true" ma:list="{4ccefaf0-83de-4a62-8cc9-ce0546752b78}" ma:internalName="TaxCatchAll" ma:showField="CatchAllData" ma:web="62f1fba9-5276-4610-b149-ea96538488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70e516-b8ce-4d0b-944a-cee4985e100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displayName="Image Tags_0" ma:hidden="true" ma:internalName="lcf76f155ced4ddcb4097134ff3c332f">
      <xsd:simpleType>
        <xsd:restriction base="dms:Note"/>
      </xsd:simpleType>
    </xsd:element>
    <xsd:element name="InScope_x003f_" ma:index="13" nillable="true" ma:displayName="In Scope?" ma:format="Dropdown" ma:internalName="InScope_x003f_">
      <xsd:simpleType>
        <xsd:restriction base="dms:Text">
          <xsd:maxLength value="255"/>
        </xsd:restriction>
      </xsd:simpleType>
    </xsd:element>
    <xsd:element name="Releaseinfull_x003f_" ma:index="14" nillable="true" ma:displayName="Release in full?" ma:format="Dropdown" ma:internalName="Releaseinfull_x003f_">
      <xsd:simpleType>
        <xsd:restriction base="dms:Text">
          <xsd:maxLength value="255"/>
        </xsd:restriction>
      </xsd:simpleType>
    </xsd:element>
    <xsd:element name="Withholdgrounds" ma:index="15" nillable="true" ma:displayName="Withhold grounds" ma:format="Dropdown" ma:internalName="Withholdgrounds">
      <xsd:simpleType>
        <xsd:restriction base="dms:Text">
          <xsd:maxLength value="255"/>
        </xsd:restriction>
      </xsd:simpleType>
    </xsd:element>
    <xsd:element name="Inscope" ma:index="16" nillable="true" ma:displayName="In scope" ma:format="Dropdown" ma:internalName="Inscope">
      <xsd:simpleType>
        <xsd:restriction base="dms:Text">
          <xsd:maxLength value="255"/>
        </xsd:restriction>
      </xsd:simpleType>
    </xsd:element>
    <xsd:element name="_Flow_SignoffStatus" ma:index="17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5BC39C-2679-462A-ADF8-0DACABF9B068}"/>
</file>

<file path=customXml/itemProps2.xml><?xml version="1.0" encoding="utf-8"?>
<ds:datastoreItem xmlns:ds="http://schemas.openxmlformats.org/officeDocument/2006/customXml" ds:itemID="{CDCEF27E-4D32-4604-85F3-37C6EE6F3C68}"/>
</file>

<file path=customXml/itemProps3.xml><?xml version="1.0" encoding="utf-8"?>
<ds:datastoreItem xmlns:ds="http://schemas.openxmlformats.org/officeDocument/2006/customXml" ds:itemID="{0E291F0F-30F7-441D-B821-715179EB7DB0}"/>
</file>

<file path=customXml/itemProps4.xml><?xml version="1.0" encoding="utf-8"?>
<ds:datastoreItem xmlns:ds="http://schemas.openxmlformats.org/officeDocument/2006/customXml" ds:itemID="{FC980407-9BD3-4F38-80A9-37A9851AD7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HittN</dc:creator>
  <cp:keywords/>
  <dc:description/>
  <cp:lastModifiedBy/>
  <cp:revision/>
  <dcterms:created xsi:type="dcterms:W3CDTF">2023-08-08T22:31:09Z</dcterms:created>
  <dcterms:modified xsi:type="dcterms:W3CDTF">2024-02-27T06:40:24Z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d314b8-d49f-4f88-9385-4c72a13ca99b_Enabled">
    <vt:lpwstr>true</vt:lpwstr>
  </property>
  <property fmtid="{D5CDD505-2E9C-101B-9397-08002B2CF9AE}" pid="3" name="MSIP_Label_8cd314b8-d49f-4f88-9385-4c72a13ca99b_SetDate">
    <vt:lpwstr>2023-08-09T01:02:43Z</vt:lpwstr>
  </property>
  <property fmtid="{D5CDD505-2E9C-101B-9397-08002B2CF9AE}" pid="4" name="MSIP_Label_8cd314b8-d49f-4f88-9385-4c72a13ca99b_Method">
    <vt:lpwstr>Privileged</vt:lpwstr>
  </property>
  <property fmtid="{D5CDD505-2E9C-101B-9397-08002B2CF9AE}" pid="5" name="MSIP_Label_8cd314b8-d49f-4f88-9385-4c72a13ca99b_Name">
    <vt:lpwstr>[IN-CONFIDENCE]</vt:lpwstr>
  </property>
  <property fmtid="{D5CDD505-2E9C-101B-9397-08002B2CF9AE}" pid="6" name="MSIP_Label_8cd314b8-d49f-4f88-9385-4c72a13ca99b_SiteId">
    <vt:lpwstr>761dd003-d4ff-4049-8a72-8549b20fcbb1</vt:lpwstr>
  </property>
  <property fmtid="{D5CDD505-2E9C-101B-9397-08002B2CF9AE}" pid="7" name="MSIP_Label_8cd314b8-d49f-4f88-9385-4c72a13ca99b_ActionId">
    <vt:lpwstr>0c0813f4-fb3d-4f5b-b76c-63a1dcc8df3b</vt:lpwstr>
  </property>
  <property fmtid="{D5CDD505-2E9C-101B-9397-08002B2CF9AE}" pid="8" name="MSIP_Label_8cd314b8-d49f-4f88-9385-4c72a13ca99b_ContentBits">
    <vt:lpwstr>3</vt:lpwstr>
  </property>
  <property fmtid="{D5CDD505-2E9C-101B-9397-08002B2CF9AE}" pid="9" name="ContentTypeId">
    <vt:lpwstr>0x010100EA8D75BBA27B104794ED37320E9E673E</vt:lpwstr>
  </property>
  <property fmtid="{D5CDD505-2E9C-101B-9397-08002B2CF9AE}" pid="10" name="_dlc_DocIdItemGuid">
    <vt:lpwstr>d65d802f-8659-466c-857a-55086c381f40</vt:lpwstr>
  </property>
  <property fmtid="{D5CDD505-2E9C-101B-9397-08002B2CF9AE}" pid="11" name="MediaServiceImageTags">
    <vt:lpwstr/>
  </property>
</Properties>
</file>